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gov-my.sharepoint.com/personal/steven_chybowski_energy_ri_gov/Documents/EBF/"/>
    </mc:Choice>
  </mc:AlternateContent>
  <xr:revisionPtr revIDLastSave="0" documentId="8_{F8E19F96-271D-43A4-98E5-DBDFEE039F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SF" sheetId="4" r:id="rId1"/>
    <sheet name="AnswerOptions" sheetId="2" r:id="rId2"/>
    <sheet name="References" sheetId="5" r:id="rId3"/>
  </sheets>
  <definedNames>
    <definedName name="Electricity_Rate">References!$F$12:$F$13</definedName>
    <definedName name="Electricity_Rates_Buildings">References!$C$12:$C$13</definedName>
    <definedName name="Loan_Term" localSheetId="0">AnswerOptions!#REF!</definedName>
    <definedName name="Loan_Term">AnswerOptions!#REF!</definedName>
    <definedName name="Natural_Gas_Buildings">References!$C$17:$C$18</definedName>
    <definedName name="Natural_Gas_Rate">References!$F$17:$F$18</definedName>
    <definedName name="Oil_Buildings">References!$C$27:$C$28</definedName>
    <definedName name="Oil_Rate">References!$D$27:$D$28</definedName>
    <definedName name="Propane_Buildings">References!$C$22:$C$23</definedName>
    <definedName name="Propane_Rate">References!$D$22:$D$23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08" i="4" l="1"/>
  <c r="X107" i="4"/>
  <c r="X106" i="4"/>
  <c r="X105" i="4"/>
  <c r="X104" i="4"/>
  <c r="X103" i="4"/>
  <c r="X102" i="4"/>
  <c r="X101" i="4"/>
  <c r="X100" i="4"/>
  <c r="X99" i="4"/>
  <c r="X98" i="4"/>
  <c r="F13" i="5"/>
  <c r="F12" i="5"/>
  <c r="G14" i="4"/>
  <c r="V98" i="4"/>
  <c r="W98" i="4" s="1"/>
  <c r="V100" i="4" l="1"/>
  <c r="W100" i="4" s="1"/>
  <c r="V101" i="4"/>
  <c r="W101" i="4" s="1"/>
  <c r="V102" i="4"/>
  <c r="W102" i="4" s="1"/>
  <c r="V103" i="4"/>
  <c r="W103" i="4" s="1"/>
  <c r="V104" i="4"/>
  <c r="W104" i="4" s="1"/>
  <c r="V105" i="4"/>
  <c r="W105" i="4" s="1"/>
  <c r="V106" i="4"/>
  <c r="W106" i="4" s="1"/>
  <c r="V107" i="4"/>
  <c r="W107" i="4" s="1"/>
  <c r="V108" i="4"/>
  <c r="W108" i="4" s="1"/>
  <c r="V99" i="4"/>
  <c r="W99" i="4" s="1"/>
  <c r="W66" i="4"/>
  <c r="W64" i="4"/>
  <c r="W65" i="4"/>
  <c r="W67" i="4"/>
  <c r="W68" i="4"/>
  <c r="W69" i="4"/>
  <c r="W70" i="4"/>
  <c r="W71" i="4"/>
  <c r="W72" i="4"/>
  <c r="W73" i="4"/>
  <c r="V63" i="4"/>
  <c r="V65" i="4"/>
  <c r="V66" i="4"/>
  <c r="V67" i="4"/>
  <c r="V68" i="4"/>
  <c r="V69" i="4"/>
  <c r="V70" i="4"/>
  <c r="V71" i="4"/>
  <c r="V72" i="4"/>
  <c r="V73" i="4"/>
  <c r="V64" i="4"/>
  <c r="X64" i="4" s="1"/>
  <c r="Y63" i="4"/>
  <c r="H29" i="4"/>
  <c r="H30" i="4"/>
  <c r="H31" i="4"/>
  <c r="H32" i="4"/>
  <c r="H33" i="4"/>
  <c r="H34" i="4"/>
  <c r="H35" i="4"/>
  <c r="H36" i="4"/>
  <c r="H37" i="4"/>
  <c r="H38" i="4"/>
  <c r="H39" i="4"/>
  <c r="H40" i="4"/>
  <c r="H28" i="4"/>
  <c r="W109" i="4" l="1"/>
  <c r="V109" i="4"/>
  <c r="W46" i="4"/>
  <c r="W63" i="4"/>
  <c r="Z64" i="4"/>
  <c r="Z65" i="4"/>
  <c r="Z66" i="4"/>
  <c r="Z67" i="4"/>
  <c r="Z68" i="4"/>
  <c r="Z69" i="4"/>
  <c r="Z70" i="4"/>
  <c r="Z71" i="4"/>
  <c r="Z72" i="4"/>
  <c r="Z73" i="4"/>
  <c r="Z48" i="4"/>
  <c r="Z49" i="4"/>
  <c r="Z50" i="4"/>
  <c r="Z51" i="4"/>
  <c r="Z52" i="4"/>
  <c r="Z53" i="4"/>
  <c r="Z54" i="4"/>
  <c r="Z55" i="4"/>
  <c r="Z56" i="4"/>
  <c r="Z63" i="4"/>
  <c r="U47" i="4"/>
  <c r="V47" i="4" s="1"/>
  <c r="X46" i="4"/>
  <c r="Y46" i="4" s="1"/>
  <c r="U46" i="4"/>
  <c r="V46" i="4" s="1"/>
  <c r="S29" i="4"/>
  <c r="S30" i="4"/>
  <c r="S31" i="4"/>
  <c r="S32" i="4"/>
  <c r="S33" i="4"/>
  <c r="S34" i="4"/>
  <c r="S35" i="4"/>
  <c r="S36" i="4"/>
  <c r="S37" i="4"/>
  <c r="S38" i="4"/>
  <c r="S39" i="4"/>
  <c r="S40" i="4"/>
  <c r="P29" i="4"/>
  <c r="P30" i="4"/>
  <c r="P31" i="4"/>
  <c r="P32" i="4"/>
  <c r="P33" i="4"/>
  <c r="P34" i="4"/>
  <c r="P35" i="4"/>
  <c r="P36" i="4"/>
  <c r="P37" i="4"/>
  <c r="P38" i="4"/>
  <c r="P39" i="4"/>
  <c r="P40" i="4"/>
  <c r="S28" i="4"/>
  <c r="P28" i="4"/>
  <c r="M30" i="4"/>
  <c r="M31" i="4"/>
  <c r="M32" i="4"/>
  <c r="M33" i="4"/>
  <c r="M34" i="4"/>
  <c r="M35" i="4"/>
  <c r="M36" i="4"/>
  <c r="M37" i="4"/>
  <c r="M38" i="4"/>
  <c r="M39" i="4"/>
  <c r="M40" i="4"/>
  <c r="J29" i="4"/>
  <c r="J30" i="4"/>
  <c r="J31" i="4"/>
  <c r="J32" i="4"/>
  <c r="J33" i="4"/>
  <c r="J34" i="4"/>
  <c r="J35" i="4"/>
  <c r="J36" i="4"/>
  <c r="J37" i="4"/>
  <c r="J38" i="4"/>
  <c r="J39" i="4"/>
  <c r="J40" i="4"/>
  <c r="J28" i="4"/>
  <c r="F17" i="5"/>
  <c r="M28" i="4" s="1"/>
  <c r="F18" i="5"/>
  <c r="M29" i="4" s="1"/>
  <c r="X49" i="4"/>
  <c r="Y68" i="4" l="1"/>
  <c r="Y70" i="4"/>
  <c r="Y67" i="4"/>
  <c r="Y69" i="4"/>
  <c r="Y71" i="4"/>
  <c r="Y65" i="4"/>
  <c r="Y73" i="4"/>
  <c r="Y72" i="4"/>
  <c r="Y66" i="4"/>
  <c r="AA64" i="4"/>
  <c r="Y64" i="4"/>
  <c r="Z47" i="4"/>
  <c r="G16" i="4" s="1"/>
  <c r="Z46" i="4"/>
  <c r="G17" i="4" l="1"/>
  <c r="Z57" i="4"/>
  <c r="X48" i="4"/>
  <c r="X50" i="4"/>
  <c r="X51" i="4"/>
  <c r="X52" i="4"/>
  <c r="X53" i="4"/>
  <c r="X54" i="4"/>
  <c r="X55" i="4"/>
  <c r="X56" i="4"/>
  <c r="X47" i="4"/>
  <c r="Y47" i="4" s="1"/>
  <c r="U99" i="4" l="1"/>
  <c r="U100" i="4"/>
  <c r="U101" i="4"/>
  <c r="U102" i="4"/>
  <c r="U103" i="4"/>
  <c r="U104" i="4"/>
  <c r="U105" i="4"/>
  <c r="U106" i="4"/>
  <c r="U107" i="4"/>
  <c r="U108" i="4"/>
  <c r="U98" i="4"/>
  <c r="W81" i="4"/>
  <c r="W82" i="4"/>
  <c r="W83" i="4"/>
  <c r="W84" i="4"/>
  <c r="W85" i="4"/>
  <c r="W86" i="4"/>
  <c r="W87" i="4"/>
  <c r="W88" i="4"/>
  <c r="W89" i="4"/>
  <c r="W90" i="4"/>
  <c r="W80" i="4"/>
  <c r="X65" i="4"/>
  <c r="X66" i="4"/>
  <c r="X67" i="4"/>
  <c r="X68" i="4"/>
  <c r="X69" i="4"/>
  <c r="X70" i="4"/>
  <c r="X71" i="4"/>
  <c r="X72" i="4"/>
  <c r="X73" i="4"/>
  <c r="W47" i="4"/>
  <c r="W48" i="4"/>
  <c r="W49" i="4"/>
  <c r="W50" i="4"/>
  <c r="W51" i="4"/>
  <c r="W52" i="4"/>
  <c r="W53" i="4"/>
  <c r="W54" i="4"/>
  <c r="W55" i="4"/>
  <c r="W56" i="4"/>
  <c r="P17" i="4" l="1"/>
  <c r="P19" i="4"/>
  <c r="P18" i="4"/>
  <c r="P12" i="4"/>
  <c r="R12" i="4" s="1"/>
  <c r="P15" i="4"/>
  <c r="R15" i="4" s="1"/>
  <c r="P14" i="4"/>
  <c r="R14" i="4" s="1"/>
  <c r="P13" i="4"/>
  <c r="R13" i="4" s="1"/>
  <c r="G13" i="4"/>
  <c r="V81" i="4"/>
  <c r="V82" i="4"/>
  <c r="V83" i="4"/>
  <c r="V84" i="4"/>
  <c r="V85" i="4"/>
  <c r="V86" i="4"/>
  <c r="V87" i="4"/>
  <c r="V88" i="4"/>
  <c r="V89" i="4"/>
  <c r="V90" i="4"/>
  <c r="V80" i="4"/>
  <c r="W74" i="4" l="1"/>
  <c r="S74" i="4"/>
  <c r="R74" i="4"/>
  <c r="Q74" i="4"/>
  <c r="P74" i="4"/>
  <c r="M74" i="4"/>
  <c r="L74" i="4"/>
  <c r="O74" i="4"/>
  <c r="R109" i="4"/>
  <c r="Q109" i="4"/>
  <c r="P109" i="4"/>
  <c r="O109" i="4"/>
  <c r="S91" i="4"/>
  <c r="R91" i="4"/>
  <c r="Q91" i="4"/>
  <c r="O91" i="4"/>
  <c r="N91" i="4"/>
  <c r="M91" i="4"/>
  <c r="U87" i="4"/>
  <c r="U109" i="4" l="1"/>
  <c r="U81" i="4"/>
  <c r="U82" i="4"/>
  <c r="U83" i="4"/>
  <c r="U84" i="4"/>
  <c r="U85" i="4"/>
  <c r="U86" i="4"/>
  <c r="U88" i="4"/>
  <c r="U89" i="4"/>
  <c r="U90" i="4"/>
  <c r="U80" i="4"/>
  <c r="Y74" i="4"/>
  <c r="X63" i="4"/>
  <c r="P57" i="4"/>
  <c r="Q57" i="4"/>
  <c r="R57" i="4"/>
  <c r="S57" i="4"/>
  <c r="K57" i="4"/>
  <c r="L57" i="4"/>
  <c r="M57" i="4"/>
  <c r="N57" i="4"/>
  <c r="J57" i="4"/>
  <c r="Y48" i="4"/>
  <c r="Y49" i="4"/>
  <c r="Y50" i="4"/>
  <c r="Y51" i="4"/>
  <c r="Y52" i="4"/>
  <c r="Y53" i="4"/>
  <c r="Y54" i="4"/>
  <c r="Y55" i="4"/>
  <c r="Y56" i="4"/>
  <c r="U48" i="4"/>
  <c r="V48" i="4" s="1"/>
  <c r="U49" i="4"/>
  <c r="V49" i="4" s="1"/>
  <c r="U50" i="4"/>
  <c r="V50" i="4" s="1"/>
  <c r="U51" i="4"/>
  <c r="V51" i="4" s="1"/>
  <c r="U52" i="4"/>
  <c r="V52" i="4" s="1"/>
  <c r="U53" i="4"/>
  <c r="V53" i="4" s="1"/>
  <c r="U54" i="4"/>
  <c r="V54" i="4" s="1"/>
  <c r="U55" i="4"/>
  <c r="V55" i="4" s="1"/>
  <c r="U56" i="4"/>
  <c r="V56" i="4" s="1"/>
  <c r="U91" i="4" l="1"/>
  <c r="X74" i="4"/>
  <c r="V74" i="4"/>
  <c r="W91" i="4"/>
  <c r="Y57" i="4"/>
  <c r="X57" i="4"/>
  <c r="U57" i="4"/>
  <c r="L15" i="4" l="1"/>
  <c r="W57" i="4"/>
  <c r="G15" i="4" s="1"/>
  <c r="O57" i="4"/>
  <c r="G12" i="4" s="1"/>
  <c r="L12" i="4" l="1"/>
  <c r="L16" i="4" s="1"/>
  <c r="L17" i="4" s="1"/>
  <c r="G18" i="4" l="1"/>
  <c r="G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Jake Ciolek</author>
    <author>tc={1AF6066B-DD0C-4000-B6D6-AACAEECFEAD8}</author>
  </authors>
  <commentList>
    <comment ref="L13" authorId="0" shapeId="0" xr:uid="{46EBC5D7-08BA-4B29-A45C-81F68BC3610B}">
      <text>
        <r>
          <rPr>
            <sz val="9"/>
            <color indexed="81"/>
            <rFont val="Tahoma"/>
            <family val="2"/>
          </rPr>
          <t>Varies</t>
        </r>
      </text>
    </comment>
    <comment ref="L14" authorId="0" shapeId="0" xr:uid="{D1C34BAC-A781-46BD-9A04-2441885DE973}">
      <text>
        <r>
          <rPr>
            <sz val="9"/>
            <color indexed="81"/>
            <rFont val="Tahoma"/>
            <family val="2"/>
          </rPr>
          <t>Varies</t>
        </r>
      </text>
    </comment>
    <comment ref="G15" authorId="0" shapeId="0" xr:uid="{4A6BF6E2-5602-4BA4-9C6C-C78914077963}">
      <text>
        <r>
          <rPr>
            <sz val="9"/>
            <color indexed="81"/>
            <rFont val="Tahoma"/>
            <family val="2"/>
          </rPr>
          <t>Can vary</t>
        </r>
      </text>
    </comment>
    <comment ref="H26" authorId="1" shapeId="0" xr:uid="{1AF6066B-DD0C-4000-B6D6-AACAEECFEAD8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Formula has to be updated for new fuel columns</t>
      </text>
    </comment>
  </commentList>
</comments>
</file>

<file path=xl/sharedStrings.xml><?xml version="1.0" encoding="utf-8"?>
<sst xmlns="http://schemas.openxmlformats.org/spreadsheetml/2006/main" count="349" uniqueCount="222">
  <si>
    <t>RI EFFICIENT BUILDINGS FUND APPLICATION</t>
  </si>
  <si>
    <t>PROJECT SUMMARY FORM (PSF)</t>
  </si>
  <si>
    <t>Applicant:</t>
  </si>
  <si>
    <t>Insert Applicant Name</t>
  </si>
  <si>
    <t>Date:</t>
  </si>
  <si>
    <r>
      <rPr>
        <i/>
        <sz val="11"/>
        <color rgb="FFC0504D"/>
        <rFont val="Calibri"/>
        <family val="2"/>
      </rPr>
      <t>IMPORTANT:</t>
    </r>
    <r>
      <rPr>
        <sz val="11"/>
        <color rgb="FFC0504D"/>
        <rFont val="Calibri"/>
        <family val="2"/>
      </rPr>
      <t xml:space="preserve"> Blue cells have built-in formulas that will automatically calculate when you plug information into the white cells. Contact your energy audit vendor for assistance or call Steven Chybowski @ (401) 574-9100 with questions.</t>
    </r>
  </si>
  <si>
    <t>SUMMARY</t>
  </si>
  <si>
    <t>Automatically fills</t>
  </si>
  <si>
    <t>IMPORTANT: The loan term and interest rate used here are for proposal review purposes only and are not guaranteed should the applicant be selected for financing.</t>
  </si>
  <si>
    <t>Energy Impacts of Proposed Projects</t>
  </si>
  <si>
    <t>Financial Summary</t>
  </si>
  <si>
    <t>Loan Summary</t>
  </si>
  <si>
    <t>Specific Units</t>
  </si>
  <si>
    <t>kBTU</t>
  </si>
  <si>
    <t>Total Cost of All Projects</t>
  </si>
  <si>
    <t>Original Principal</t>
  </si>
  <si>
    <t>Change in Electricity</t>
  </si>
  <si>
    <t>kWh</t>
  </si>
  <si>
    <t>Total Cost of Recently Completed Projects (if any)</t>
  </si>
  <si>
    <t>Loan Term (years)</t>
  </si>
  <si>
    <t>Change in Natural Gas</t>
  </si>
  <si>
    <t>therms</t>
  </si>
  <si>
    <t>Total Cost of Proposed Projects</t>
  </si>
  <si>
    <t>Interest Rate</t>
  </si>
  <si>
    <t>Change in Oil</t>
  </si>
  <si>
    <t>gallons</t>
  </si>
  <si>
    <t>Total Amount Requested from EBF</t>
  </si>
  <si>
    <t>Net Estimated Annual Savings</t>
  </si>
  <si>
    <t>Change in Propane</t>
  </si>
  <si>
    <t>Estimated Annual Debt Service</t>
  </si>
  <si>
    <t>Total Lifetime Cost Savings of all Proposed Projects</t>
  </si>
  <si>
    <t>Estimated Annual Cash Flow</t>
  </si>
  <si>
    <t>Change in Peak Demand</t>
  </si>
  <si>
    <t>kW</t>
  </si>
  <si>
    <t>Discount Rate</t>
  </si>
  <si>
    <t>Estimated Total Debt Service</t>
  </si>
  <si>
    <t>Added Production from RE</t>
  </si>
  <si>
    <r>
      <t xml:space="preserve">Estimated Total Cash Benefit </t>
    </r>
    <r>
      <rPr>
        <i/>
        <sz val="11"/>
        <color theme="1"/>
        <rFont val="Calibri"/>
        <family val="2"/>
        <scheme val="minor"/>
      </rPr>
      <t>(positive values are cash-positive)</t>
    </r>
  </si>
  <si>
    <t>Added Capacity from RE</t>
  </si>
  <si>
    <t>* Please include all measures/projects completed in the past two years. Including recently completed projects may improve an application's score - please review scoring criteria here: www.energy.ri.gov/RIEBF for more information.</t>
  </si>
  <si>
    <t>** Please use data from the energy use baseline you submit with this application. Values listed here must match values in the baseline.</t>
  </si>
  <si>
    <t>PROJECT DETAIL</t>
  </si>
  <si>
    <t>COST SAVINGS ASSUMPTIONS</t>
  </si>
  <si>
    <t>Facility's Total Annual Energy Use (kBTU)**</t>
  </si>
  <si>
    <t>Annual change in cost of electricity (%)</t>
  </si>
  <si>
    <t>Cost of natural gas ($/therm)</t>
  </si>
  <si>
    <t>Annual change in cost of natural gas (%)</t>
  </si>
  <si>
    <t>Cost of oil ($/gallon)</t>
  </si>
  <si>
    <t>Annual change in cost of oil (%)</t>
  </si>
  <si>
    <t>Cost of propane ($/gallon)</t>
  </si>
  <si>
    <t>Annual change in cost of propane (%)</t>
  </si>
  <si>
    <t>QUICK CONVERSION REFERENCE</t>
  </si>
  <si>
    <t>To be filled out by auditor</t>
  </si>
  <si>
    <t>Facility name</t>
  </si>
  <si>
    <t>Multiplier to get kBtu</t>
  </si>
  <si>
    <t>Input Unit</t>
  </si>
  <si>
    <t>EXAMPLE</t>
  </si>
  <si>
    <t>Building A</t>
  </si>
  <si>
    <t>Natural Gas</t>
  </si>
  <si>
    <t>Facility #1</t>
  </si>
  <si>
    <t>Electricity</t>
  </si>
  <si>
    <t>Facility #2</t>
  </si>
  <si>
    <t>Fuel Oil (No. 2)</t>
  </si>
  <si>
    <t>Facility #3</t>
  </si>
  <si>
    <t>Propane</t>
  </si>
  <si>
    <t>Facility #4</t>
  </si>
  <si>
    <t>* Source: ENERGY STAR Portfolio Manager Technical Reference</t>
  </si>
  <si>
    <t>Facility #5</t>
  </si>
  <si>
    <t>Facility #6</t>
  </si>
  <si>
    <t>Facility #7</t>
  </si>
  <si>
    <t>Facility #8</t>
  </si>
  <si>
    <t>Facility #9</t>
  </si>
  <si>
    <t>Facility #10</t>
  </si>
  <si>
    <t>Facility #11</t>
  </si>
  <si>
    <t>Facility #12</t>
  </si>
  <si>
    <t>ENERGY EFFICIENCY</t>
  </si>
  <si>
    <t>To be filled out by applicant or energy auditor or consultant</t>
  </si>
  <si>
    <t>Measure Information</t>
  </si>
  <si>
    <t>Facility Information</t>
  </si>
  <si>
    <t>Estimated changes due to measure (use negative values for decreases in use and positive values for increases in use)</t>
  </si>
  <si>
    <t>Cost, Incentives, and Savings</t>
  </si>
  <si>
    <t>Summary (will be automatically updated)</t>
  </si>
  <si>
    <t> Measure Number*</t>
  </si>
  <si>
    <t>Measure Name or Short Description</t>
  </si>
  <si>
    <t>Is this measure Proposed or Recently Completed?</t>
  </si>
  <si>
    <t xml:space="preserve">Estimated Equipment Life Expectancy (Years) </t>
  </si>
  <si>
    <t>Facility</t>
  </si>
  <si>
    <t>Change in Annual Electricity Use (kWh)</t>
  </si>
  <si>
    <t>Change in Annual Natural Gas Use (therms)</t>
  </si>
  <si>
    <t>Change in Annual Oil Use (gallons)</t>
  </si>
  <si>
    <t>Change in Annual Propane Use (gallons)</t>
  </si>
  <si>
    <t>Estimated Change in Annual Electricity Peak Demand (kW)</t>
  </si>
  <si>
    <t>Estimated Measure Cost ($)</t>
  </si>
  <si>
    <t>Estimated Office of Energy Resources Incentive ($)</t>
  </si>
  <si>
    <t>Total Other Non-EBF funds to be used ($)</t>
  </si>
  <si>
    <r>
      <t xml:space="preserve">Estimated Change in Annual Maintenance Cost ($) </t>
    </r>
    <r>
      <rPr>
        <b/>
        <i/>
        <sz val="11"/>
        <color rgb="FF000000"/>
        <rFont val="Calibri"/>
        <family val="2"/>
        <scheme val="minor"/>
      </rPr>
      <t>If applicable</t>
    </r>
  </si>
  <si>
    <t>Total Change in Annual Energy Use (kBTU)</t>
  </si>
  <si>
    <t>Percent Change in Facility’s Total Annual Energy Use (%)</t>
  </si>
  <si>
    <t>Amount to be Financed Through EBF ($)</t>
  </si>
  <si>
    <t>Estimated Annual Energy Cost Savings ($)</t>
  </si>
  <si>
    <t>Total Estimated Annual Cost Savings ($)</t>
  </si>
  <si>
    <t>Estimated Lifetime Cost Savings ($)</t>
  </si>
  <si>
    <t>Lifetime Energy Cost Savings</t>
  </si>
  <si>
    <t>Heat Pump</t>
  </si>
  <si>
    <t>Recently Completed</t>
  </si>
  <si>
    <t>Measure #1</t>
  </si>
  <si>
    <t>Measure #2</t>
  </si>
  <si>
    <t>Measure #3</t>
  </si>
  <si>
    <t>Measure #4</t>
  </si>
  <si>
    <t>Measure #5</t>
  </si>
  <si>
    <t>Measure #6</t>
  </si>
  <si>
    <t>Measure #7</t>
  </si>
  <si>
    <t>Measure #8</t>
  </si>
  <si>
    <t>Measure #9</t>
  </si>
  <si>
    <t>Measure #10</t>
  </si>
  <si>
    <t>TOTALS</t>
  </si>
  <si>
    <t>RENEWABLE ENERGY</t>
  </si>
  <si>
    <t>Project Information</t>
  </si>
  <si>
    <t>System Information</t>
  </si>
  <si>
    <t>Project Number*</t>
  </si>
  <si>
    <t>Project Short Description</t>
  </si>
  <si>
    <t>Is this project Proposed or Recently Completed?</t>
  </si>
  <si>
    <t>Facility Name</t>
  </si>
  <si>
    <t>Renewable System Type (Solar PV, Wind, Other)</t>
  </si>
  <si>
    <r>
      <t xml:space="preserve">Ground or Roof Mounted </t>
    </r>
    <r>
      <rPr>
        <b/>
        <i/>
        <sz val="11"/>
        <color rgb="FF000000"/>
        <rFont val="Calibri"/>
        <family val="2"/>
        <scheme val="minor"/>
      </rPr>
      <t>if solar</t>
    </r>
  </si>
  <si>
    <t>Renewable Project Nameplate System Size (kW)</t>
  </si>
  <si>
    <t>Estimated Annual Energy Production (kWh)</t>
  </si>
  <si>
    <t>Other project costs included? (roof replacement, extended warranty, etc) ($)</t>
  </si>
  <si>
    <t>Total Project Cost Before Incentives ($)</t>
  </si>
  <si>
    <t>Estimated Renewable Energy Fund REF Incentive ($)</t>
  </si>
  <si>
    <t>Expected Investment Tax Credit ITC ($)</t>
  </si>
  <si>
    <t>Total Other Non-EBF Funds to be Used ($)</t>
  </si>
  <si>
    <t>Total Project Cost After Incentives and Other Funding ($)</t>
  </si>
  <si>
    <t>Total Change in Annual Energy Purchased from the Utility (kBTU)</t>
  </si>
  <si>
    <t>Cost per Watt ($/W)</t>
  </si>
  <si>
    <t>PV Panels on Building A</t>
  </si>
  <si>
    <t>Proposed</t>
  </si>
  <si>
    <t>Solar PV</t>
  </si>
  <si>
    <t>Ground Mounted</t>
  </si>
  <si>
    <t>extended warranty</t>
  </si>
  <si>
    <t>Project #1</t>
  </si>
  <si>
    <t>Project #2</t>
  </si>
  <si>
    <t>Project #3</t>
  </si>
  <si>
    <t>Project #4</t>
  </si>
  <si>
    <t>Project #5</t>
  </si>
  <si>
    <t>Project #6</t>
  </si>
  <si>
    <t>Project #7</t>
  </si>
  <si>
    <t>Project #8</t>
  </si>
  <si>
    <t>Project #9</t>
  </si>
  <si>
    <t>Project #10</t>
  </si>
  <si>
    <t>ELECTRIC VEHICLE SUPPLY EQUIPMENT (EVSE)</t>
  </si>
  <si>
    <t xml:space="preserve">Measure Name or Short Description </t>
  </si>
  <si>
    <t>Number of charging ports</t>
  </si>
  <si>
    <t>Level of charger (Level I, Level II, or DC Fast Charge)</t>
  </si>
  <si>
    <t>How do you plan to offset the added energy use? (energy efficiency, renewables, both)</t>
  </si>
  <si>
    <t>II</t>
  </si>
  <si>
    <t>Reducing energy use elsewhere</t>
  </si>
  <si>
    <t>ENERGY STORAGE TECHNOLOGIES</t>
  </si>
  <si>
    <t>Project Name or Short Description (include type of battery storage)</t>
  </si>
  <si>
    <t xml:space="preserve">Does the project use a renewable energy technology? (Y/N) </t>
  </si>
  <si>
    <t>Length of storage charge (hours)</t>
  </si>
  <si>
    <t>Critical facilities covered by the storage project? (Y/N)</t>
  </si>
  <si>
    <t>Total Project Cost ($)</t>
  </si>
  <si>
    <r>
      <t>Total Project Cost w/ Renewable Technology</t>
    </r>
    <r>
      <rPr>
        <b/>
        <i/>
        <sz val="11"/>
        <color rgb="FF000000"/>
        <rFont val="Calibri"/>
        <family val="2"/>
        <scheme val="minor"/>
      </rPr>
      <t xml:space="preserve"> if applicable</t>
    </r>
    <r>
      <rPr>
        <b/>
        <sz val="11"/>
        <color rgb="FF000000"/>
        <rFont val="Calibri"/>
        <family val="2"/>
        <scheme val="minor"/>
      </rPr>
      <t>($)</t>
    </r>
  </si>
  <si>
    <t>Storage System</t>
  </si>
  <si>
    <t>Yes</t>
  </si>
  <si>
    <t>Electric</t>
  </si>
  <si>
    <t>Heating</t>
  </si>
  <si>
    <t>Both</t>
  </si>
  <si>
    <t>Wind</t>
  </si>
  <si>
    <t>Other (write in)</t>
  </si>
  <si>
    <t>Increasing renewable energy production</t>
  </si>
  <si>
    <t>I</t>
  </si>
  <si>
    <t>DC Fast Charge</t>
  </si>
  <si>
    <t>No</t>
  </si>
  <si>
    <t>Roof Mounted</t>
  </si>
  <si>
    <t>N/A</t>
  </si>
  <si>
    <t>References Informing Project Summary Form</t>
  </si>
  <si>
    <t>Useful Life Table and Sources</t>
  </si>
  <si>
    <t>Measure Type</t>
  </si>
  <si>
    <t>Measure Life (yrs)</t>
  </si>
  <si>
    <t>Source</t>
  </si>
  <si>
    <t>Sub-source</t>
  </si>
  <si>
    <t>M-270</t>
  </si>
  <si>
    <t>x</t>
  </si>
  <si>
    <t>Pg. M18 (2019) and M-399 (2016)</t>
  </si>
  <si>
    <t>Electricity Rate</t>
  </si>
  <si>
    <t xml:space="preserve">Energy Usage </t>
  </si>
  <si>
    <t>Example 1: Enhanced Envelope</t>
  </si>
  <si>
    <t>Example 2: High Efficiency Lighting</t>
  </si>
  <si>
    <t>2019 RI TRM</t>
  </si>
  <si>
    <t>Natural Gas Rate</t>
  </si>
  <si>
    <t>Propane Rate</t>
  </si>
  <si>
    <t>Oil Rate</t>
  </si>
  <si>
    <t>Delivery Charge</t>
  </si>
  <si>
    <t>Supply Charge</t>
  </si>
  <si>
    <t>$/Therm</t>
  </si>
  <si>
    <t>Building</t>
  </si>
  <si>
    <t>Building B</t>
  </si>
  <si>
    <t>Electricity 
(kWh)</t>
  </si>
  <si>
    <t>Fuel Oil (No. 2) 
(Gallons)</t>
  </si>
  <si>
    <t>Propane 
(Gallons)</t>
  </si>
  <si>
    <t>Natural Gas 
(Therms)</t>
  </si>
  <si>
    <t>HE Lighting</t>
  </si>
  <si>
    <t>Estimated Rhode Island Energy Incentive ($)</t>
  </si>
  <si>
    <t>PV Panels on Building B</t>
  </si>
  <si>
    <t>Estimated Renewable Energy Growth REG Incentive ($/kWh)</t>
  </si>
  <si>
    <r>
      <t xml:space="preserve">Estimated Annual Maintenance Cost ($) </t>
    </r>
    <r>
      <rPr>
        <b/>
        <i/>
        <sz val="11"/>
        <color rgb="FF000000"/>
        <rFont val="Calibri"/>
        <family val="2"/>
        <scheme val="minor"/>
      </rPr>
      <t>If applicable</t>
    </r>
  </si>
  <si>
    <t>Interconnection Type (Behind-the-meter / Front of the meter)</t>
  </si>
  <si>
    <t>Behind-the-meter</t>
  </si>
  <si>
    <t>Annual Demand Response Revenue ($)</t>
  </si>
  <si>
    <t>Estimated Annual Energy Savings</t>
  </si>
  <si>
    <t>Total Lifetime Cost Savings of all Recently Completed Projects</t>
  </si>
  <si>
    <t>RI Energy Utility Bill</t>
  </si>
  <si>
    <t>$/Gallon</t>
  </si>
  <si>
    <t>Note: Add-in relevant assumption information in the tables below. Link values in "PSF" tab to this page where relevant.</t>
  </si>
  <si>
    <t>Oil provider</t>
  </si>
  <si>
    <t>Propane provider</t>
  </si>
  <si>
    <t>Cost of electricity ($/kWh)</t>
  </si>
  <si>
    <t>Nameplate Project Size (kW)</t>
  </si>
  <si>
    <t>Total Rate</t>
  </si>
  <si>
    <t>$/kWh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</si>
</sst>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0.0%"/>
    <numFmt numFmtId="167" formatCode="_(* #,##0_);_(* \(#,##0\);_(* &quot;-&quot;??_);_(@_)"/>
    <numFmt numFmtId="168" formatCode="_(&quot;$&quot;* #,##0.0000_);_(&quot;$&quot;* \(#,##0.0000\);_(&quot;$&quot;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i/>
      <sz val="11"/>
      <color rgb="FFC0504D"/>
      <name val="Calibri"/>
      <family val="2"/>
    </font>
    <font>
      <sz val="11"/>
      <color rgb="FFC0504D"/>
      <name val="Calibri"/>
      <family val="2"/>
    </font>
    <font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sz val="14"/>
      <color theme="3"/>
      <name val="Cambria"/>
      <family val="2"/>
      <scheme val="maj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Alignment="0" applyProtection="0"/>
    <xf numFmtId="0" fontId="25" fillId="13" borderId="0" applyNumberFormat="0" applyBorder="0" applyAlignment="0" applyProtection="0"/>
  </cellStyleXfs>
  <cellXfs count="275">
    <xf numFmtId="0" fontId="0" fillId="0" borderId="0" xfId="0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44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3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6" borderId="0" xfId="0" applyFill="1" applyBorder="1" applyProtection="1">
      <protection locked="0"/>
    </xf>
    <xf numFmtId="0" fontId="1" fillId="6" borderId="3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4" fontId="4" fillId="0" borderId="1" xfId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right" vertical="center"/>
      <protection locked="0"/>
    </xf>
    <xf numFmtId="3" fontId="2" fillId="7" borderId="1" xfId="0" applyNumberFormat="1" applyFont="1" applyFill="1" applyBorder="1" applyAlignment="1" applyProtection="1">
      <alignment horizontal="right"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9" fontId="5" fillId="0" borderId="0" xfId="0" applyNumberFormat="1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7" fontId="4" fillId="4" borderId="4" xfId="0" applyNumberFormat="1" applyFont="1" applyFill="1" applyBorder="1" applyProtection="1"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right" vertical="center" wrapText="1"/>
      <protection locked="0"/>
    </xf>
    <xf numFmtId="9" fontId="4" fillId="8" borderId="1" xfId="0" applyNumberFormat="1" applyFont="1" applyFill="1" applyBorder="1" applyAlignment="1" applyProtection="1">
      <alignment horizontal="center" vertical="center"/>
    </xf>
    <xf numFmtId="44" fontId="4" fillId="8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1" fillId="4" borderId="10" xfId="0" applyFon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9" fillId="4" borderId="9" xfId="0" applyFont="1" applyFill="1" applyBorder="1" applyProtection="1">
      <protection locked="0"/>
    </xf>
    <xf numFmtId="0" fontId="0" fillId="4" borderId="13" xfId="0" applyFill="1" applyBorder="1" applyProtection="1">
      <protection locked="0"/>
    </xf>
    <xf numFmtId="44" fontId="4" fillId="4" borderId="0" xfId="0" applyNumberFormat="1" applyFont="1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3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44" fontId="0" fillId="7" borderId="0" xfId="1" applyFont="1" applyFill="1" applyBorder="1" applyProtection="1">
      <protection locked="0"/>
    </xf>
    <xf numFmtId="9" fontId="0" fillId="7" borderId="0" xfId="2" applyFont="1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9" fontId="0" fillId="0" borderId="0" xfId="2" applyFont="1" applyFill="1" applyBorder="1" applyProtection="1"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3" fontId="4" fillId="8" borderId="1" xfId="3" applyNumberFormat="1" applyFont="1" applyFill="1" applyBorder="1" applyAlignment="1" applyProtection="1">
      <alignment horizontal="right" vertical="center" wrapText="1"/>
      <protection locked="0"/>
    </xf>
    <xf numFmtId="164" fontId="4" fillId="8" borderId="1" xfId="0" applyNumberFormat="1" applyFont="1" applyFill="1" applyBorder="1" applyAlignment="1" applyProtection="1">
      <alignment horizontal="right" vertic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9" fontId="0" fillId="0" borderId="1" xfId="2" applyFon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7" fillId="7" borderId="11" xfId="0" applyFont="1" applyFill="1" applyBorder="1" applyProtection="1">
      <protection locked="0"/>
    </xf>
    <xf numFmtId="0" fontId="1" fillId="7" borderId="0" xfId="0" applyFont="1" applyFill="1" applyBorder="1" applyProtection="1">
      <protection locked="0"/>
    </xf>
    <xf numFmtId="44" fontId="0" fillId="4" borderId="1" xfId="1" applyFont="1" applyFill="1" applyBorder="1" applyAlignment="1" applyProtection="1">
      <alignment horizontal="center" vertical="center"/>
      <protection locked="0"/>
    </xf>
    <xf numFmtId="3" fontId="4" fillId="0" borderId="1" xfId="3" applyNumberFormat="1" applyFont="1" applyBorder="1" applyAlignment="1" applyProtection="1">
      <alignment horizontal="center" vertical="center"/>
      <protection locked="0"/>
    </xf>
    <xf numFmtId="3" fontId="0" fillId="4" borderId="1" xfId="3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3" fontId="2" fillId="2" borderId="1" xfId="3" applyNumberFormat="1" applyFont="1" applyFill="1" applyBorder="1" applyAlignment="1" applyProtection="1">
      <alignment horizontal="right" vertical="center"/>
      <protection locked="0"/>
    </xf>
    <xf numFmtId="44" fontId="4" fillId="8" borderId="1" xfId="1" applyFont="1" applyFill="1" applyBorder="1" applyAlignment="1" applyProtection="1">
      <alignment horizontal="right" vertical="center" wrapText="1"/>
      <protection locked="0"/>
    </xf>
    <xf numFmtId="3" fontId="4" fillId="8" borderId="1" xfId="3" applyNumberFormat="1" applyFont="1" applyFill="1" applyBorder="1" applyAlignment="1" applyProtection="1">
      <alignment horizontal="center" vertical="center"/>
    </xf>
    <xf numFmtId="3" fontId="5" fillId="2" borderId="1" xfId="3" applyNumberFormat="1" applyFont="1" applyFill="1" applyBorder="1" applyAlignment="1" applyProtection="1">
      <alignment horizontal="center" vertical="center"/>
      <protection locked="0"/>
    </xf>
    <xf numFmtId="9" fontId="2" fillId="7" borderId="1" xfId="2" applyFont="1" applyFill="1" applyBorder="1" applyAlignment="1" applyProtection="1">
      <alignment horizontal="right" vertical="center"/>
      <protection locked="0"/>
    </xf>
    <xf numFmtId="9" fontId="5" fillId="7" borderId="1" xfId="0" applyNumberFormat="1" applyFont="1" applyFill="1" applyBorder="1" applyAlignment="1" applyProtection="1">
      <alignment horizontal="center" vertical="center"/>
      <protection locked="0"/>
    </xf>
    <xf numFmtId="44" fontId="4" fillId="4" borderId="16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0" borderId="0" xfId="0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4" fillId="4" borderId="3" xfId="0" applyFont="1" applyFill="1" applyBorder="1" applyAlignment="1" applyProtection="1">
      <alignment wrapText="1"/>
      <protection locked="0"/>
    </xf>
    <xf numFmtId="0" fontId="7" fillId="7" borderId="11" xfId="0" applyFont="1" applyFill="1" applyBorder="1" applyAlignment="1" applyProtection="1">
      <alignment wrapText="1"/>
      <protection locked="0"/>
    </xf>
    <xf numFmtId="0" fontId="1" fillId="7" borderId="0" xfId="0" applyFont="1" applyFill="1" applyBorder="1" applyAlignment="1" applyProtection="1">
      <alignment wrapText="1"/>
      <protection locked="0"/>
    </xf>
    <xf numFmtId="0" fontId="0" fillId="7" borderId="0" xfId="0" applyFill="1" applyBorder="1" applyAlignment="1" applyProtection="1">
      <alignment wrapText="1"/>
      <protection locked="0"/>
    </xf>
    <xf numFmtId="44" fontId="0" fillId="7" borderId="0" xfId="1" applyFont="1" applyFill="1" applyBorder="1" applyAlignment="1" applyProtection="1">
      <alignment wrapText="1"/>
      <protection locked="0"/>
    </xf>
    <xf numFmtId="9" fontId="0" fillId="7" borderId="0" xfId="2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5" fillId="0" borderId="1" xfId="0" applyFont="1" applyFill="1" applyBorder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7" borderId="0" xfId="0" applyFont="1" applyFill="1" applyBorder="1" applyAlignment="1" applyProtection="1">
      <alignment wrapText="1"/>
      <protection locked="0"/>
    </xf>
    <xf numFmtId="9" fontId="15" fillId="0" borderId="1" xfId="2" applyFont="1" applyFill="1" applyBorder="1" applyProtection="1">
      <protection locked="0"/>
    </xf>
    <xf numFmtId="0" fontId="15" fillId="7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3" fontId="15" fillId="0" borderId="1" xfId="3" applyNumberFormat="1" applyFont="1" applyBorder="1" applyAlignment="1" applyProtection="1">
      <alignment horizontal="center" vertical="center"/>
      <protection locked="0"/>
    </xf>
    <xf numFmtId="44" fontId="15" fillId="0" borderId="1" xfId="1" applyFont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right" vertical="center"/>
      <protection locked="0"/>
    </xf>
    <xf numFmtId="3" fontId="15" fillId="8" borderId="1" xfId="3" applyNumberFormat="1" applyFont="1" applyFill="1" applyBorder="1" applyAlignment="1" applyProtection="1">
      <alignment horizontal="right" vertical="center" wrapText="1"/>
      <protection locked="0"/>
    </xf>
    <xf numFmtId="9" fontId="15" fillId="8" borderId="1" xfId="0" applyNumberFormat="1" applyFont="1" applyFill="1" applyBorder="1" applyAlignment="1" applyProtection="1">
      <alignment horizontal="center" vertical="center"/>
    </xf>
    <xf numFmtId="164" fontId="15" fillId="8" borderId="1" xfId="0" applyNumberFormat="1" applyFont="1" applyFill="1" applyBorder="1" applyAlignment="1" applyProtection="1">
      <alignment horizontal="right" vertical="center"/>
      <protection locked="0"/>
    </xf>
    <xf numFmtId="44" fontId="15" fillId="8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3" fontId="15" fillId="8" borderId="1" xfId="3" applyNumberFormat="1" applyFont="1" applyFill="1" applyBorder="1" applyAlignment="1" applyProtection="1">
      <alignment horizontal="center" vertical="center"/>
    </xf>
    <xf numFmtId="44" fontId="15" fillId="8" borderId="1" xfId="0" applyNumberFormat="1" applyFont="1" applyFill="1" applyBorder="1" applyAlignment="1" applyProtection="1">
      <alignment horizontal="right" vertical="center"/>
      <protection locked="0"/>
    </xf>
    <xf numFmtId="0" fontId="15" fillId="8" borderId="1" xfId="0" applyFont="1" applyFill="1" applyBorder="1" applyAlignment="1" applyProtection="1">
      <alignment horizontal="right" vertical="center" wrapText="1"/>
      <protection locked="0"/>
    </xf>
    <xf numFmtId="43" fontId="15" fillId="0" borderId="1" xfId="3" applyFont="1" applyBorder="1" applyAlignment="1" applyProtection="1">
      <alignment vertical="center"/>
      <protection locked="0"/>
    </xf>
    <xf numFmtId="43" fontId="4" fillId="0" borderId="1" xfId="3" applyFont="1" applyBorder="1" applyAlignment="1" applyProtection="1">
      <alignment vertical="center"/>
      <protection locked="0"/>
    </xf>
    <xf numFmtId="43" fontId="2" fillId="2" borderId="1" xfId="3" applyFont="1" applyFill="1" applyBorder="1" applyAlignment="1" applyProtection="1">
      <alignment horizontal="right" vertical="center"/>
      <protection locked="0"/>
    </xf>
    <xf numFmtId="44" fontId="15" fillId="0" borderId="1" xfId="1" applyFont="1" applyBorder="1" applyAlignment="1" applyProtection="1">
      <alignment vertical="center"/>
      <protection locked="0"/>
    </xf>
    <xf numFmtId="44" fontId="4" fillId="0" borderId="1" xfId="1" applyFont="1" applyBorder="1" applyAlignment="1" applyProtection="1">
      <alignment vertical="center"/>
      <protection locked="0"/>
    </xf>
    <xf numFmtId="44" fontId="2" fillId="7" borderId="1" xfId="1" applyFont="1" applyFill="1" applyBorder="1" applyAlignment="1" applyProtection="1">
      <alignment horizontal="right" vertical="center"/>
      <protection locked="0"/>
    </xf>
    <xf numFmtId="0" fontId="13" fillId="6" borderId="14" xfId="0" applyFont="1" applyFill="1" applyBorder="1" applyAlignment="1" applyProtection="1">
      <alignment wrapText="1"/>
      <protection locked="0"/>
    </xf>
    <xf numFmtId="0" fontId="7" fillId="6" borderId="10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14" fontId="18" fillId="3" borderId="0" xfId="0" applyNumberFormat="1" applyFont="1" applyFill="1" applyProtection="1"/>
    <xf numFmtId="0" fontId="18" fillId="0" borderId="0" xfId="0" applyFont="1" applyProtection="1">
      <protection locked="0"/>
    </xf>
    <xf numFmtId="0" fontId="1" fillId="4" borderId="11" xfId="0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" fillId="4" borderId="3" xfId="0" applyFont="1" applyFill="1" applyBorder="1" applyProtection="1">
      <protection locked="0"/>
    </xf>
    <xf numFmtId="164" fontId="0" fillId="8" borderId="1" xfId="0" applyNumberFormat="1" applyFont="1" applyFill="1" applyBorder="1" applyAlignment="1" applyProtection="1">
      <alignment horizontal="right" vertical="center"/>
      <protection locked="0"/>
    </xf>
    <xf numFmtId="44" fontId="0" fillId="8" borderId="1" xfId="0" applyNumberFormat="1" applyFont="1" applyFill="1" applyBorder="1" applyAlignment="1" applyProtection="1">
      <alignment horizontal="right" vertical="center"/>
      <protection locked="0"/>
    </xf>
    <xf numFmtId="8" fontId="0" fillId="0" borderId="0" xfId="0" applyNumberFormat="1" applyProtection="1">
      <protection locked="0"/>
    </xf>
    <xf numFmtId="0" fontId="0" fillId="7" borderId="0" xfId="0" applyFill="1" applyBorder="1" applyAlignment="1" applyProtection="1">
      <alignment horizontal="right"/>
      <protection locked="0"/>
    </xf>
    <xf numFmtId="9" fontId="0" fillId="7" borderId="0" xfId="0" applyNumberFormat="1" applyFill="1" applyBorder="1" applyProtection="1">
      <protection locked="0"/>
    </xf>
    <xf numFmtId="0" fontId="15" fillId="7" borderId="0" xfId="0" applyFont="1" applyFill="1" applyAlignment="1" applyProtection="1">
      <alignment horizontal="center" vertical="center" wrapText="1"/>
      <protection locked="0"/>
    </xf>
    <xf numFmtId="165" fontId="15" fillId="7" borderId="0" xfId="0" applyNumberFormat="1" applyFont="1" applyFill="1" applyProtection="1">
      <protection locked="0"/>
    </xf>
    <xf numFmtId="0" fontId="19" fillId="7" borderId="0" xfId="0" applyFont="1" applyFill="1" applyProtection="1">
      <protection locked="0"/>
    </xf>
    <xf numFmtId="0" fontId="19" fillId="7" borderId="0" xfId="0" applyFont="1" applyFill="1" applyAlignment="1" applyProtection="1">
      <alignment vertical="center"/>
      <protection locked="0"/>
    </xf>
    <xf numFmtId="0" fontId="16" fillId="10" borderId="0" xfId="0" applyFont="1" applyFill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6" fillId="0" borderId="0" xfId="4" applyFont="1"/>
    <xf numFmtId="0" fontId="23" fillId="11" borderId="17" xfId="5" applyBorder="1" applyAlignment="1" applyProtection="1">
      <alignment horizontal="center" vertical="center" wrapText="1"/>
      <protection locked="0"/>
    </xf>
    <xf numFmtId="0" fontId="23" fillId="11" borderId="17" xfId="5" applyBorder="1" applyAlignment="1" applyProtection="1">
      <alignment horizontal="center" vertical="center"/>
      <protection locked="0"/>
    </xf>
    <xf numFmtId="0" fontId="4" fillId="14" borderId="17" xfId="0" applyFont="1" applyFill="1" applyBorder="1" applyAlignment="1" applyProtection="1">
      <alignment horizontal="left" vertical="center"/>
      <protection locked="0"/>
    </xf>
    <xf numFmtId="0" fontId="0" fillId="14" borderId="17" xfId="0" applyFill="1" applyBorder="1" applyAlignment="1">
      <alignment horizontal="center"/>
    </xf>
    <xf numFmtId="0" fontId="0" fillId="14" borderId="17" xfId="0" applyFill="1" applyBorder="1"/>
    <xf numFmtId="0" fontId="0" fillId="14" borderId="18" xfId="0" applyFill="1" applyBorder="1"/>
    <xf numFmtId="0" fontId="23" fillId="0" borderId="0" xfId="0" applyFont="1"/>
    <xf numFmtId="0" fontId="0" fillId="14" borderId="17" xfId="0" applyFill="1" applyBorder="1" applyProtection="1"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8" fillId="6" borderId="11" xfId="0" applyFont="1" applyFill="1" applyBorder="1" applyAlignment="1" applyProtection="1">
      <alignment horizontal="centerContinuous"/>
      <protection locked="0"/>
    </xf>
    <xf numFmtId="43" fontId="4" fillId="0" borderId="1" xfId="0" applyNumberFormat="1" applyFont="1" applyBorder="1" applyAlignment="1" applyProtection="1">
      <alignment horizontal="right" vertical="center"/>
      <protection locked="0"/>
    </xf>
    <xf numFmtId="0" fontId="25" fillId="0" borderId="0" xfId="7" applyFill="1"/>
    <xf numFmtId="0" fontId="0" fillId="0" borderId="0" xfId="0" applyFill="1"/>
    <xf numFmtId="0" fontId="7" fillId="6" borderId="11" xfId="0" applyFont="1" applyFill="1" applyBorder="1" applyProtection="1">
      <protection locked="0"/>
    </xf>
    <xf numFmtId="0" fontId="29" fillId="6" borderId="11" xfId="0" applyFont="1" applyFill="1" applyBorder="1" applyAlignment="1" applyProtection="1">
      <alignment horizontal="centerContinuous"/>
      <protection locked="0"/>
    </xf>
    <xf numFmtId="0" fontId="7" fillId="6" borderId="5" xfId="0" applyFont="1" applyFill="1" applyBorder="1" applyAlignment="1" applyProtection="1">
      <alignment vertical="center"/>
      <protection locked="0"/>
    </xf>
    <xf numFmtId="0" fontId="7" fillId="6" borderId="6" xfId="0" applyFont="1" applyFill="1" applyBorder="1" applyAlignment="1" applyProtection="1">
      <alignment vertical="center"/>
      <protection locked="0"/>
    </xf>
    <xf numFmtId="0" fontId="7" fillId="6" borderId="7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4" fillId="8" borderId="1" xfId="3" applyNumberFormat="1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4" fontId="15" fillId="0" borderId="0" xfId="0" applyNumberFormat="1" applyFont="1" applyFill="1" applyBorder="1" applyAlignment="1" applyProtection="1">
      <alignment horizontal="right" vertical="center"/>
      <protection locked="0"/>
    </xf>
    <xf numFmtId="44" fontId="15" fillId="0" borderId="0" xfId="0" applyNumberFormat="1" applyFont="1" applyFill="1" applyBorder="1" applyAlignment="1" applyProtection="1">
      <alignment horizontal="center" vertical="center"/>
      <protection locked="0"/>
    </xf>
    <xf numFmtId="44" fontId="4" fillId="0" borderId="0" xfId="0" applyNumberFormat="1" applyFont="1" applyFill="1" applyBorder="1" applyAlignment="1" applyProtection="1">
      <alignment horizontal="right" vertical="center"/>
      <protection locked="0"/>
    </xf>
    <xf numFmtId="44" fontId="4" fillId="0" borderId="0" xfId="0" applyNumberFormat="1" applyFont="1" applyFill="1" applyBorder="1" applyAlignment="1" applyProtection="1">
      <alignment horizontal="center" vertical="center"/>
      <protection locked="0"/>
    </xf>
    <xf numFmtId="43" fontId="0" fillId="0" borderId="0" xfId="3" applyFont="1" applyProtection="1">
      <protection locked="0"/>
    </xf>
    <xf numFmtId="167" fontId="0" fillId="8" borderId="1" xfId="0" applyNumberFormat="1" applyFont="1" applyFill="1" applyBorder="1" applyAlignment="1" applyProtection="1">
      <alignment horizontal="right" vertical="center"/>
      <protection locked="0"/>
    </xf>
    <xf numFmtId="168" fontId="15" fillId="0" borderId="1" xfId="1" applyNumberFormat="1" applyFont="1" applyBorder="1" applyAlignment="1" applyProtection="1">
      <alignment vertical="center"/>
      <protection locked="0"/>
    </xf>
    <xf numFmtId="168" fontId="4" fillId="0" borderId="1" xfId="1" applyNumberFormat="1" applyFont="1" applyFill="1" applyBorder="1" applyAlignment="1" applyProtection="1">
      <alignment horizontal="center" vertical="center"/>
      <protection locked="0"/>
    </xf>
    <xf numFmtId="168" fontId="4" fillId="0" borderId="1" xfId="1" applyNumberFormat="1" applyFont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ill="1" applyBorder="1"/>
    <xf numFmtId="165" fontId="0" fillId="0" borderId="17" xfId="1" applyNumberFormat="1" applyFont="1" applyBorder="1" applyAlignment="1">
      <alignment horizontal="center"/>
    </xf>
    <xf numFmtId="165" fontId="0" fillId="0" borderId="17" xfId="1" applyNumberFormat="1" applyFont="1" applyBorder="1" applyAlignment="1" applyProtection="1">
      <alignment wrapText="1"/>
      <protection locked="0"/>
    </xf>
    <xf numFmtId="165" fontId="0" fillId="3" borderId="17" xfId="1" applyNumberFormat="1" applyFont="1" applyFill="1" applyBorder="1" applyAlignment="1">
      <alignment horizontal="center"/>
    </xf>
    <xf numFmtId="165" fontId="0" fillId="0" borderId="0" xfId="0" applyNumberFormat="1"/>
    <xf numFmtId="165" fontId="0" fillId="3" borderId="17" xfId="1" applyNumberFormat="1" applyFont="1" applyFill="1" applyBorder="1"/>
    <xf numFmtId="44" fontId="0" fillId="0" borderId="17" xfId="1" applyNumberFormat="1" applyFont="1" applyBorder="1" applyAlignment="1" applyProtection="1">
      <alignment wrapText="1"/>
      <protection locked="0"/>
    </xf>
    <xf numFmtId="44" fontId="0" fillId="3" borderId="17" xfId="1" applyNumberFormat="1" applyFont="1" applyFill="1" applyBorder="1"/>
    <xf numFmtId="44" fontId="0" fillId="0" borderId="0" xfId="0" applyNumberFormat="1"/>
    <xf numFmtId="0" fontId="21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25" fillId="0" borderId="0" xfId="7" applyFill="1" applyBorder="1"/>
    <xf numFmtId="165" fontId="0" fillId="0" borderId="17" xfId="1" applyNumberFormat="1" applyFont="1" applyBorder="1" applyAlignment="1" applyProtection="1">
      <alignment horizontal="center" wrapText="1"/>
      <protection locked="0"/>
    </xf>
    <xf numFmtId="44" fontId="15" fillId="4" borderId="7" xfId="1" applyFont="1" applyFill="1" applyBorder="1" applyProtection="1">
      <protection locked="0"/>
    </xf>
    <xf numFmtId="44" fontId="15" fillId="4" borderId="1" xfId="1" applyFont="1" applyFill="1" applyBorder="1" applyProtection="1">
      <protection locked="0"/>
    </xf>
    <xf numFmtId="0" fontId="17" fillId="0" borderId="0" xfId="0" applyFont="1" applyFill="1" applyProtection="1">
      <protection locked="0"/>
    </xf>
    <xf numFmtId="0" fontId="24" fillId="0" borderId="0" xfId="6" applyFill="1"/>
    <xf numFmtId="0" fontId="23" fillId="11" borderId="17" xfId="5" applyBorder="1" applyAlignment="1" applyProtection="1">
      <alignment horizontal="centerContinuous" vertical="center" wrapText="1"/>
      <protection locked="0"/>
    </xf>
    <xf numFmtId="164" fontId="4" fillId="4" borderId="0" xfId="1" applyNumberFormat="1" applyFont="1" applyFill="1" applyBorder="1" applyAlignment="1" applyProtection="1">
      <alignment wrapText="1"/>
      <protection locked="0"/>
    </xf>
    <xf numFmtId="164" fontId="4" fillId="4" borderId="0" xfId="0" applyNumberFormat="1" applyFont="1" applyFill="1" applyBorder="1" applyAlignment="1" applyProtection="1">
      <alignment wrapText="1"/>
      <protection locked="0"/>
    </xf>
    <xf numFmtId="164" fontId="4" fillId="4" borderId="3" xfId="0" applyNumberFormat="1" applyFont="1" applyFill="1" applyBorder="1" applyAlignment="1" applyProtection="1">
      <alignment wrapText="1"/>
      <protection locked="0"/>
    </xf>
    <xf numFmtId="3" fontId="4" fillId="4" borderId="5" xfId="0" applyNumberFormat="1" applyFont="1" applyFill="1" applyBorder="1" applyAlignment="1" applyProtection="1">
      <alignment horizontal="center" vertical="center"/>
      <protection locked="0"/>
    </xf>
    <xf numFmtId="44" fontId="4" fillId="4" borderId="7" xfId="1" applyFont="1" applyFill="1" applyBorder="1" applyProtection="1">
      <protection locked="0"/>
    </xf>
    <xf numFmtId="44" fontId="4" fillId="4" borderId="1" xfId="1" applyFont="1" applyFill="1" applyBorder="1" applyProtection="1"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2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center" wrapText="1"/>
      <protection locked="0"/>
    </xf>
    <xf numFmtId="0" fontId="0" fillId="6" borderId="13" xfId="0" applyFill="1" applyBorder="1" applyAlignment="1" applyProtection="1">
      <alignment horizontal="center" wrapText="1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0" fillId="5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9" borderId="5" xfId="0" applyFont="1" applyFill="1" applyBorder="1" applyAlignment="1" applyProtection="1">
      <alignment horizontal="center" vertical="center"/>
      <protection locked="0"/>
    </xf>
    <xf numFmtId="0" fontId="0" fillId="9" borderId="7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1" fillId="4" borderId="3" xfId="0" applyFont="1" applyFill="1" applyBorder="1" applyAlignment="1" applyProtection="1">
      <alignment horizontal="center" wrapText="1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 applyProtection="1">
      <alignment wrapText="1"/>
      <protection locked="0"/>
    </xf>
    <xf numFmtId="0" fontId="1" fillId="6" borderId="0" xfId="0" applyFont="1" applyFill="1" applyBorder="1" applyAlignment="1" applyProtection="1">
      <alignment horizontal="center" wrapText="1"/>
      <protection locked="0"/>
    </xf>
    <xf numFmtId="3" fontId="15" fillId="4" borderId="5" xfId="0" applyNumberFormat="1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15" fillId="14" borderId="1" xfId="0" applyFont="1" applyFill="1" applyBorder="1" applyAlignment="1" applyProtection="1">
      <alignment horizontal="center" vertical="center" wrapText="1"/>
      <protection locked="0"/>
    </xf>
    <xf numFmtId="166" fontId="4" fillId="4" borderId="0" xfId="0" applyNumberFormat="1" applyFont="1" applyFill="1" applyBorder="1" applyProtection="1">
      <protection locked="0"/>
    </xf>
  </cellXfs>
  <cellStyles count="8">
    <cellStyle name="Accent1" xfId="5" builtinId="29"/>
    <cellStyle name="Comma" xfId="3" builtinId="3"/>
    <cellStyle name="Currency" xfId="1" builtinId="4"/>
    <cellStyle name="Normal" xfId="0" builtinId="0"/>
    <cellStyle name="Percent" xfId="2" builtinId="5"/>
    <cellStyle name="Title" xfId="4" builtinId="15"/>
    <cellStyle name="WorksheetSubtitle" xfId="7" xr:uid="{C58EFE9A-5507-4D92-B369-048A13A1738E}"/>
    <cellStyle name="WorksheetTitle" xfId="6" xr:uid="{2D0BD524-49E4-4515-A082-6AFB7A5218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die Galvin" id="{3D1EF455-E038-48B3-B000-B644B4EF9947}" userId="S::Edward.Galvin@cadmusgroup.com::571c62f4-deb0-4e10-8be1-bbe3092861a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6" dT="2023-08-01T21:09:40.44" personId="{3D1EF455-E038-48B3-B000-B644B4EF9947}" id="{1AF6066B-DD0C-4000-B6D6-AACAEECFEAD8}">
    <text>Formula has to be updated for new fuel columns</text>
  </threadedComment>
</ThreadedComments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55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BFBEAB3-293B-4CC7-9477-A68C402E759D}">
  <we:reference id="08687bd9-92ac-4ce9-9017-0a5014830ac6" version="1.0.0.0" store="developer" storeType="Registry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E109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:P6"/>
    </sheetView>
  </sheetViews>
  <sheetFormatPr defaultColWidth="8.85546875" defaultRowHeight="15" x14ac:dyDescent="0.25"/>
  <cols>
    <col min="1" max="1" width="5" style="4" customWidth="1"/>
    <col min="2" max="2" width="67" style="4" customWidth="1"/>
    <col min="3" max="5" width="21.42578125" style="4" customWidth="1"/>
    <col min="6" max="6" width="22.42578125" style="4" customWidth="1"/>
    <col min="7" max="7" width="21.140625" style="93" customWidth="1"/>
    <col min="8" max="8" width="17.85546875" style="4" customWidth="1"/>
    <col min="9" max="9" width="17.5703125" style="4" customWidth="1"/>
    <col min="10" max="10" width="27" style="4" customWidth="1"/>
    <col min="11" max="11" width="26.7109375" style="4" customWidth="1"/>
    <col min="12" max="12" width="16.5703125" style="4" customWidth="1"/>
    <col min="13" max="13" width="14.42578125" style="4" customWidth="1"/>
    <col min="14" max="14" width="18.5703125" style="4" customWidth="1"/>
    <col min="15" max="15" width="26.5703125" style="4" customWidth="1"/>
    <col min="16" max="16" width="18.7109375" style="4" customWidth="1"/>
    <col min="17" max="17" width="19.140625" style="4" customWidth="1"/>
    <col min="18" max="19" width="21.140625" style="4" customWidth="1"/>
    <col min="20" max="20" width="13.5703125" style="4" customWidth="1"/>
    <col min="21" max="21" width="16.28515625" style="4" bestFit="1" customWidth="1"/>
    <col min="22" max="22" width="21.7109375" style="4" bestFit="1" customWidth="1"/>
    <col min="23" max="23" width="21.42578125" style="4" bestFit="1" customWidth="1"/>
    <col min="24" max="24" width="15.7109375" style="4" bestFit="1" customWidth="1"/>
    <col min="25" max="25" width="23.140625" style="4" customWidth="1"/>
    <col min="26" max="26" width="17.140625" style="4" customWidth="1"/>
    <col min="27" max="27" width="14.42578125" style="4" customWidth="1"/>
    <col min="28" max="28" width="10.85546875" style="4" customWidth="1"/>
    <col min="29" max="16384" width="8.85546875" style="4"/>
  </cols>
  <sheetData>
    <row r="2" spans="2:19" s="2" customFormat="1" ht="23.25" x14ac:dyDescent="0.35">
      <c r="B2" s="145" t="s">
        <v>0</v>
      </c>
      <c r="F2" s="1"/>
      <c r="G2" s="92"/>
    </row>
    <row r="3" spans="2:19" s="2" customFormat="1" ht="23.25" x14ac:dyDescent="0.35">
      <c r="B3" s="145" t="s">
        <v>1</v>
      </c>
      <c r="F3" s="1"/>
      <c r="G3" s="92"/>
    </row>
    <row r="4" spans="2:19" ht="15.75" x14ac:dyDescent="0.25">
      <c r="B4" s="144" t="s">
        <v>2</v>
      </c>
      <c r="C4" s="147" t="s">
        <v>3</v>
      </c>
      <c r="D4" s="147"/>
      <c r="E4" s="147"/>
    </row>
    <row r="5" spans="2:19" ht="15.75" x14ac:dyDescent="0.25">
      <c r="B5" s="161" t="s">
        <v>4</v>
      </c>
      <c r="C5" s="146"/>
      <c r="D5" s="146"/>
      <c r="E5" s="146"/>
    </row>
    <row r="6" spans="2:19" s="11" customFormat="1" x14ac:dyDescent="0.25">
      <c r="B6" s="258" t="s">
        <v>5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8" spans="2:19" ht="31.5" x14ac:dyDescent="0.5">
      <c r="B8" s="48" t="s">
        <v>6</v>
      </c>
      <c r="C8" s="148" t="s">
        <v>7</v>
      </c>
      <c r="D8" s="148"/>
      <c r="E8" s="148"/>
      <c r="F8" s="49"/>
      <c r="G8" s="94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</row>
    <row r="9" spans="2:19" ht="15" customHeight="1" x14ac:dyDescent="0.25">
      <c r="B9" s="51" t="s">
        <v>8</v>
      </c>
      <c r="C9" s="15"/>
      <c r="D9" s="15"/>
      <c r="E9" s="15"/>
      <c r="F9" s="15"/>
      <c r="G9" s="95"/>
      <c r="H9" s="15"/>
      <c r="I9" s="15"/>
      <c r="J9" s="15"/>
      <c r="K9" s="15"/>
      <c r="L9" s="15"/>
      <c r="M9" s="15"/>
      <c r="N9" s="90"/>
      <c r="O9" s="90"/>
      <c r="P9" s="90"/>
      <c r="Q9" s="90"/>
      <c r="R9" s="90"/>
      <c r="S9" s="52"/>
    </row>
    <row r="10" spans="2:19" x14ac:dyDescent="0.25">
      <c r="B10" s="16"/>
      <c r="C10" s="15"/>
      <c r="D10" s="15"/>
      <c r="E10" s="15"/>
      <c r="F10" s="15"/>
      <c r="G10" s="95"/>
      <c r="H10" s="15"/>
      <c r="I10" s="15"/>
      <c r="J10" s="15"/>
      <c r="K10" s="15"/>
      <c r="L10" s="15"/>
      <c r="M10" s="15"/>
      <c r="N10" s="260" t="s">
        <v>9</v>
      </c>
      <c r="O10" s="260"/>
      <c r="P10" s="15"/>
      <c r="Q10" s="15"/>
      <c r="R10" s="15"/>
      <c r="S10" s="52"/>
    </row>
    <row r="11" spans="2:19" x14ac:dyDescent="0.25">
      <c r="B11" s="149" t="s">
        <v>10</v>
      </c>
      <c r="C11" s="14"/>
      <c r="D11" s="14"/>
      <c r="E11" s="14"/>
      <c r="F11" s="14"/>
      <c r="G11" s="150"/>
      <c r="H11" s="15"/>
      <c r="I11" s="151" t="s">
        <v>11</v>
      </c>
      <c r="J11" s="14"/>
      <c r="K11" s="14"/>
      <c r="L11" s="14"/>
      <c r="M11" s="15"/>
      <c r="N11" s="261"/>
      <c r="O11" s="261"/>
      <c r="P11" s="142" t="s">
        <v>12</v>
      </c>
      <c r="Q11" s="14"/>
      <c r="R11" s="142" t="s">
        <v>13</v>
      </c>
      <c r="S11" s="52"/>
    </row>
    <row r="12" spans="2:19" x14ac:dyDescent="0.25">
      <c r="B12" s="16" t="s">
        <v>14</v>
      </c>
      <c r="C12" s="15"/>
      <c r="D12" s="15"/>
      <c r="E12" s="15"/>
      <c r="F12" s="15"/>
      <c r="G12" s="220">
        <f>O57+O74+O91+O109</f>
        <v>721260</v>
      </c>
      <c r="H12" s="39"/>
      <c r="I12" s="39" t="s">
        <v>15</v>
      </c>
      <c r="J12" s="39"/>
      <c r="K12" s="39"/>
      <c r="L12" s="53">
        <f>G15</f>
        <v>618999.80000000005</v>
      </c>
      <c r="M12" s="15"/>
      <c r="N12" s="15" t="s">
        <v>16</v>
      </c>
      <c r="O12" s="15"/>
      <c r="P12" s="15">
        <f>SUM(SUMIF(F47:F56,"Proposed",J47:J56),SUMIF(G81:G90,"Proposed",M81:M90))</f>
        <v>-100</v>
      </c>
      <c r="Q12" s="143" t="s">
        <v>17</v>
      </c>
      <c r="R12" s="15">
        <f>P12*X29</f>
        <v>-341.2</v>
      </c>
      <c r="S12" s="52"/>
    </row>
    <row r="13" spans="2:19" x14ac:dyDescent="0.25">
      <c r="B13" s="16" t="s">
        <v>18</v>
      </c>
      <c r="C13" s="15"/>
      <c r="D13" s="15"/>
      <c r="E13" s="15"/>
      <c r="F13" s="15"/>
      <c r="G13" s="220">
        <f>SUM(SUMIF(F47:F56,"Recently Completed",O47:O56),SUMIF(G64:G73,"Recently Completed",O64:O73),SUMIF(G81:G90,"Recently Completed",O81:O90),SUMIF(F99:F108,"Recently Completed",O99:O108))</f>
        <v>0</v>
      </c>
      <c r="H13" s="39"/>
      <c r="I13" s="39" t="s">
        <v>19</v>
      </c>
      <c r="J13" s="39"/>
      <c r="K13" s="39"/>
      <c r="L13" s="39">
        <v>10</v>
      </c>
      <c r="M13" s="15"/>
      <c r="N13" s="15" t="s">
        <v>20</v>
      </c>
      <c r="O13" s="15"/>
      <c r="P13" s="15">
        <f>SUM(SUMIF(F47:F56,"Proposed",K47:K56))</f>
        <v>0</v>
      </c>
      <c r="Q13" s="143" t="s">
        <v>21</v>
      </c>
      <c r="R13" s="15">
        <f>P13*X28</f>
        <v>0</v>
      </c>
      <c r="S13" s="52"/>
    </row>
    <row r="14" spans="2:19" x14ac:dyDescent="0.25">
      <c r="B14" s="16" t="s">
        <v>22</v>
      </c>
      <c r="C14" s="15"/>
      <c r="D14" s="15"/>
      <c r="E14" s="15"/>
      <c r="F14" s="15"/>
      <c r="G14" s="220">
        <f>SUM(SUMIF(F47:F56,"Proposed",O47:O56),SUMIF(G64:G73,"Proposed",O64:O73),SUMIF(G81:G90,"Proposed",O81:O90),SUMIF(F99:F108,"Proposed",O99:O108))</f>
        <v>721260</v>
      </c>
      <c r="H14" s="39"/>
      <c r="I14" s="39" t="s">
        <v>23</v>
      </c>
      <c r="J14" s="39"/>
      <c r="K14" s="39"/>
      <c r="L14" s="274">
        <v>0.03</v>
      </c>
      <c r="M14" s="15"/>
      <c r="N14" s="15" t="s">
        <v>24</v>
      </c>
      <c r="O14" s="15"/>
      <c r="P14" s="15">
        <f>SUM(SUMIF(F47:F56,"Proposed",L47:L56))</f>
        <v>0</v>
      </c>
      <c r="Q14" s="143" t="s">
        <v>25</v>
      </c>
      <c r="R14" s="15">
        <f>P14*X30</f>
        <v>0</v>
      </c>
      <c r="S14" s="52"/>
    </row>
    <row r="15" spans="2:19" x14ac:dyDescent="0.25">
      <c r="B15" s="16" t="s">
        <v>26</v>
      </c>
      <c r="C15" s="15"/>
      <c r="D15" s="15"/>
      <c r="E15" s="15"/>
      <c r="F15" s="15"/>
      <c r="G15" s="220">
        <f>W57+X74+W91+U109</f>
        <v>618999.80000000005</v>
      </c>
      <c r="H15" s="39"/>
      <c r="I15" s="39" t="s">
        <v>27</v>
      </c>
      <c r="J15" s="39"/>
      <c r="K15" s="39"/>
      <c r="L15" s="53">
        <f>(Y57+Y74+V109)</f>
        <v>15830.660000000002</v>
      </c>
      <c r="M15" s="15"/>
      <c r="N15" s="15" t="s">
        <v>28</v>
      </c>
      <c r="O15" s="15"/>
      <c r="P15" s="15">
        <f>SUM(SUMIF(F47:F56,"Proposed",M47:M56))</f>
        <v>0</v>
      </c>
      <c r="Q15" s="143" t="s">
        <v>25</v>
      </c>
      <c r="R15" s="15">
        <f>P15*X31</f>
        <v>0</v>
      </c>
      <c r="S15" s="52"/>
    </row>
    <row r="16" spans="2:19" ht="15.75" thickBot="1" x14ac:dyDescent="0.3">
      <c r="B16" s="16" t="s">
        <v>212</v>
      </c>
      <c r="C16" s="15"/>
      <c r="D16" s="15"/>
      <c r="E16" s="15"/>
      <c r="F16" s="15"/>
      <c r="G16" s="220">
        <f>SUMIF(F47:F56,"Recently Completed",Z47:Z56)+SUMIF(G64:G73,"Recently Completed",AA64:AA73)+SUMIF(F99:F108,"Recently Completed",W99:W108)</f>
        <v>0</v>
      </c>
      <c r="H16" s="39"/>
      <c r="I16" s="38" t="s">
        <v>29</v>
      </c>
      <c r="J16" s="38"/>
      <c r="K16" s="38"/>
      <c r="L16" s="41">
        <f>PMT(L14,L13,L12)</f>
        <v>-72565.660142492474</v>
      </c>
      <c r="M16" s="15"/>
      <c r="N16" s="15"/>
      <c r="O16" s="15"/>
      <c r="P16" s="15"/>
      <c r="Q16" s="143"/>
      <c r="R16" s="15"/>
      <c r="S16" s="52"/>
    </row>
    <row r="17" spans="2:25" ht="15.75" thickTop="1" x14ac:dyDescent="0.25">
      <c r="B17" s="16" t="s">
        <v>30</v>
      </c>
      <c r="C17" s="15"/>
      <c r="D17" s="15"/>
      <c r="E17" s="15"/>
      <c r="F17" s="15"/>
      <c r="G17" s="221">
        <f>SUMIF(F47:F56,"Proposed",Z47:Z56)+SUMIF(G64:G73,"Proposed",AA64:AA73)+SUMIF(F99:F108,"Proposed",W99:W108)</f>
        <v>1471064.9108921881</v>
      </c>
      <c r="H17" s="39"/>
      <c r="I17" s="39" t="s">
        <v>31</v>
      </c>
      <c r="J17" s="39"/>
      <c r="K17" s="40"/>
      <c r="L17" s="89">
        <f>L15-L16</f>
        <v>88396.320142492477</v>
      </c>
      <c r="M17" s="15"/>
      <c r="N17" s="15" t="s">
        <v>32</v>
      </c>
      <c r="O17" s="15"/>
      <c r="P17" s="15">
        <f>SUM(SUMIF(F47:F56,"Proposed",N47:N56),SUMIF(G81:G90,"Proposed",N81:N90))</f>
        <v>-10</v>
      </c>
      <c r="Q17" s="143" t="s">
        <v>33</v>
      </c>
      <c r="R17" s="155" t="s">
        <v>34</v>
      </c>
      <c r="S17" s="52"/>
    </row>
    <row r="18" spans="2:25" x14ac:dyDescent="0.25">
      <c r="B18" s="54" t="s">
        <v>35</v>
      </c>
      <c r="C18" s="14"/>
      <c r="D18" s="14"/>
      <c r="E18" s="14"/>
      <c r="F18" s="14"/>
      <c r="G18" s="222">
        <f>L16*L13</f>
        <v>-725656.6014249248</v>
      </c>
      <c r="H18" s="39"/>
      <c r="I18" s="15"/>
      <c r="J18" s="15"/>
      <c r="K18" s="15"/>
      <c r="L18" s="15"/>
      <c r="M18" s="15"/>
      <c r="N18" s="15" t="s">
        <v>36</v>
      </c>
      <c r="O18" s="15"/>
      <c r="P18" s="15">
        <f>SUM(SUMIF(G64:G73,"Proposed",M64:M73))</f>
        <v>81000</v>
      </c>
      <c r="Q18" s="143" t="s">
        <v>17</v>
      </c>
      <c r="R18" s="156">
        <v>0.03</v>
      </c>
      <c r="S18" s="52"/>
    </row>
    <row r="19" spans="2:25" x14ac:dyDescent="0.25">
      <c r="B19" s="16" t="s">
        <v>37</v>
      </c>
      <c r="C19" s="15"/>
      <c r="D19" s="15"/>
      <c r="E19" s="15"/>
      <c r="F19" s="15"/>
      <c r="G19" s="269">
        <f>G16+G17+G18</f>
        <v>745408.30946726329</v>
      </c>
      <c r="H19" s="39"/>
      <c r="I19" s="15"/>
      <c r="J19" s="15"/>
      <c r="K19" s="15"/>
      <c r="L19" s="15"/>
      <c r="M19" s="15"/>
      <c r="N19" s="15" t="s">
        <v>38</v>
      </c>
      <c r="O19" s="15"/>
      <c r="P19" s="15">
        <f>SUM(SUMIF(G64:G73,"Proposed",L64:L73))</f>
        <v>69.2</v>
      </c>
      <c r="Q19" s="143" t="s">
        <v>33</v>
      </c>
      <c r="R19" s="15"/>
      <c r="S19" s="52"/>
    </row>
    <row r="20" spans="2:25" x14ac:dyDescent="0.25">
      <c r="B20" s="54"/>
      <c r="C20" s="14"/>
      <c r="D20" s="14"/>
      <c r="E20" s="14"/>
      <c r="F20" s="14"/>
      <c r="G20" s="96"/>
      <c r="H20" s="37"/>
      <c r="I20" s="37"/>
      <c r="J20" s="37"/>
      <c r="K20" s="37"/>
      <c r="L20" s="37"/>
      <c r="M20" s="14"/>
      <c r="N20" s="14"/>
      <c r="O20" s="14"/>
      <c r="P20" s="14"/>
      <c r="Q20" s="14"/>
      <c r="R20" s="14"/>
      <c r="S20" s="55"/>
    </row>
    <row r="22" spans="2:25" customFormat="1" x14ac:dyDescent="0.25">
      <c r="B22" s="17" t="s">
        <v>39</v>
      </c>
      <c r="C22" s="70"/>
      <c r="D22" s="70"/>
      <c r="E22" s="70"/>
      <c r="F22" s="69"/>
      <c r="G22" s="103"/>
    </row>
    <row r="23" spans="2:25" customFormat="1" x14ac:dyDescent="0.25">
      <c r="B23" s="18" t="s">
        <v>40</v>
      </c>
      <c r="C23" s="70"/>
      <c r="D23" s="70"/>
      <c r="E23" s="70"/>
      <c r="F23" s="70"/>
      <c r="G23" s="103"/>
    </row>
    <row r="25" spans="2:25" ht="31.5" x14ac:dyDescent="0.5">
      <c r="B25" s="140" t="s">
        <v>41</v>
      </c>
    </row>
    <row r="26" spans="2:25" s="2" customFormat="1" ht="40.5" customHeight="1" x14ac:dyDescent="0.4">
      <c r="B26" s="139" t="s">
        <v>42</v>
      </c>
      <c r="C26" s="179"/>
      <c r="D26" s="180" t="s">
        <v>187</v>
      </c>
      <c r="E26" s="175"/>
      <c r="F26" s="175"/>
      <c r="G26" s="175"/>
      <c r="H26" s="239" t="s">
        <v>43</v>
      </c>
      <c r="I26" s="97"/>
      <c r="J26" s="239" t="s">
        <v>218</v>
      </c>
      <c r="K26" s="239" t="s">
        <v>44</v>
      </c>
      <c r="L26" s="77"/>
      <c r="M26" s="239" t="s">
        <v>45</v>
      </c>
      <c r="N26" s="239" t="s">
        <v>46</v>
      </c>
      <c r="O26" s="77"/>
      <c r="P26" s="239" t="s">
        <v>47</v>
      </c>
      <c r="Q26" s="239" t="s">
        <v>48</v>
      </c>
      <c r="R26" s="77"/>
      <c r="S26" s="239" t="s">
        <v>49</v>
      </c>
      <c r="T26" s="241" t="s">
        <v>50</v>
      </c>
      <c r="U26" s="77"/>
      <c r="V26" s="77"/>
      <c r="W26" s="237" t="s">
        <v>51</v>
      </c>
      <c r="X26" s="237"/>
      <c r="Y26" s="238"/>
    </row>
    <row r="27" spans="2:25" ht="30" x14ac:dyDescent="0.25">
      <c r="B27" s="138" t="s">
        <v>52</v>
      </c>
      <c r="C27" s="73" t="s">
        <v>53</v>
      </c>
      <c r="D27" s="270" t="s">
        <v>202</v>
      </c>
      <c r="E27" s="270" t="s">
        <v>199</v>
      </c>
      <c r="F27" s="270" t="s">
        <v>200</v>
      </c>
      <c r="G27" s="270" t="s">
        <v>201</v>
      </c>
      <c r="H27" s="240"/>
      <c r="I27" s="98"/>
      <c r="J27" s="240"/>
      <c r="K27" s="240"/>
      <c r="L27" s="78"/>
      <c r="M27" s="240"/>
      <c r="N27" s="240"/>
      <c r="O27" s="78"/>
      <c r="P27" s="240"/>
      <c r="Q27" s="240"/>
      <c r="R27" s="78"/>
      <c r="S27" s="240"/>
      <c r="T27" s="242"/>
      <c r="U27" s="78"/>
      <c r="V27" s="78"/>
      <c r="W27" s="19"/>
      <c r="X27" s="20" t="s">
        <v>54</v>
      </c>
      <c r="Y27" s="60" t="s">
        <v>55</v>
      </c>
    </row>
    <row r="28" spans="2:25" x14ac:dyDescent="0.25">
      <c r="B28" s="111" t="s">
        <v>56</v>
      </c>
      <c r="C28" s="112" t="s">
        <v>57</v>
      </c>
      <c r="D28" s="201">
        <v>10</v>
      </c>
      <c r="E28" s="201">
        <v>10</v>
      </c>
      <c r="F28" s="201">
        <v>10</v>
      </c>
      <c r="G28" s="201">
        <v>10</v>
      </c>
      <c r="H28" s="271">
        <f>IF(ISBLANK(C28),"",(($X$28*D28) + (E28*$X$29) + (F28*$X$30) + (G28*$X$31)))</f>
        <v>3324.12</v>
      </c>
      <c r="I28" s="113"/>
      <c r="J28" s="215">
        <f t="shared" ref="J28:J40" si="0">_xlfn.XLOOKUP(C28,Electricity_Rates_Buildings,Electricity_Rate,"",0,1)</f>
        <v>0.18186000000000002</v>
      </c>
      <c r="K28" s="114">
        <v>0.1</v>
      </c>
      <c r="L28" s="115"/>
      <c r="M28" s="216">
        <f t="shared" ref="M28:M40" si="1">_xlfn.XLOOKUP(C28,Natural_Gas_Buildings,Natural_Gas_Rate,"",0,1)</f>
        <v>0.18186000000000002</v>
      </c>
      <c r="N28" s="114">
        <v>0.1</v>
      </c>
      <c r="O28" s="115"/>
      <c r="P28" s="216">
        <f t="shared" ref="P28:P40" si="2">_xlfn.XLOOKUP(C28, Oil_Buildings,Oil_Rate,"",0,1)</f>
        <v>4</v>
      </c>
      <c r="Q28" s="114">
        <v>0.1</v>
      </c>
      <c r="R28" s="115"/>
      <c r="S28" s="216">
        <f t="shared" ref="S28:S40" si="3">_xlfn.XLOOKUP(C28,Propane_Buildings,Propane_Rate,"",0,1)</f>
        <v>4</v>
      </c>
      <c r="T28" s="114">
        <v>0.1</v>
      </c>
      <c r="U28" s="64"/>
      <c r="V28" s="64"/>
      <c r="W28" s="62" t="s">
        <v>58</v>
      </c>
      <c r="X28" s="57">
        <v>100</v>
      </c>
      <c r="Y28" s="61" t="s">
        <v>21</v>
      </c>
    </row>
    <row r="29" spans="2:25" x14ac:dyDescent="0.25">
      <c r="B29" s="76" t="s">
        <v>59</v>
      </c>
      <c r="C29" s="74" t="s">
        <v>198</v>
      </c>
      <c r="D29" s="201">
        <v>1000</v>
      </c>
      <c r="E29" s="201">
        <v>20000</v>
      </c>
      <c r="F29" s="201">
        <v>12</v>
      </c>
      <c r="G29" s="201">
        <v>12</v>
      </c>
      <c r="H29" s="223">
        <f t="shared" ref="H29:H40" si="4">IF(ISBLANK(C29),"",(($X$28*D29) + (E29*$X$29) + (F29*$X$30) + (G29*$X$31)))</f>
        <v>170988</v>
      </c>
      <c r="I29" s="100"/>
      <c r="J29" s="224">
        <f t="shared" si="0"/>
        <v>0.18186000000000002</v>
      </c>
      <c r="K29" s="75">
        <v>0.1</v>
      </c>
      <c r="L29" s="65"/>
      <c r="M29" s="225">
        <f t="shared" si="1"/>
        <v>0.25194</v>
      </c>
      <c r="N29" s="75">
        <v>0.1</v>
      </c>
      <c r="O29" s="65"/>
      <c r="P29" s="225">
        <f t="shared" si="2"/>
        <v>4</v>
      </c>
      <c r="Q29" s="75">
        <v>0.1</v>
      </c>
      <c r="R29" s="65"/>
      <c r="S29" s="225">
        <f t="shared" si="3"/>
        <v>4</v>
      </c>
      <c r="T29" s="75">
        <v>0.1</v>
      </c>
      <c r="U29" s="65"/>
      <c r="V29" s="65"/>
      <c r="W29" s="63" t="s">
        <v>60</v>
      </c>
      <c r="X29" s="57">
        <v>3.4119999999999999</v>
      </c>
      <c r="Y29" s="61" t="s">
        <v>17</v>
      </c>
    </row>
    <row r="30" spans="2:25" x14ac:dyDescent="0.25">
      <c r="B30" s="76" t="s">
        <v>61</v>
      </c>
      <c r="C30" s="74"/>
      <c r="D30" s="201"/>
      <c r="E30" s="201"/>
      <c r="F30" s="201"/>
      <c r="G30" s="201"/>
      <c r="H30" s="223" t="str">
        <f t="shared" si="4"/>
        <v/>
      </c>
      <c r="I30" s="101"/>
      <c r="J30" s="215" t="str">
        <f t="shared" si="0"/>
        <v/>
      </c>
      <c r="K30" s="75"/>
      <c r="L30" s="66"/>
      <c r="M30" s="216" t="str">
        <f t="shared" si="1"/>
        <v/>
      </c>
      <c r="N30" s="75"/>
      <c r="O30" s="66"/>
      <c r="P30" s="216" t="str">
        <f t="shared" si="2"/>
        <v/>
      </c>
      <c r="Q30" s="75"/>
      <c r="R30" s="66"/>
      <c r="S30" s="216" t="str">
        <f t="shared" si="3"/>
        <v/>
      </c>
      <c r="T30" s="75"/>
      <c r="U30" s="66"/>
      <c r="V30" s="66"/>
      <c r="W30" s="63" t="s">
        <v>62</v>
      </c>
      <c r="X30" s="57">
        <v>138</v>
      </c>
      <c r="Y30" s="61" t="s">
        <v>25</v>
      </c>
    </row>
    <row r="31" spans="2:25" x14ac:dyDescent="0.25">
      <c r="B31" s="76" t="s">
        <v>63</v>
      </c>
      <c r="C31" s="74"/>
      <c r="D31" s="201"/>
      <c r="E31" s="201"/>
      <c r="F31" s="201"/>
      <c r="G31" s="201"/>
      <c r="H31" s="223" t="str">
        <f t="shared" si="4"/>
        <v/>
      </c>
      <c r="I31" s="99"/>
      <c r="J31" s="215" t="str">
        <f t="shared" si="0"/>
        <v/>
      </c>
      <c r="K31" s="75"/>
      <c r="L31" s="64"/>
      <c r="M31" s="216" t="str">
        <f t="shared" si="1"/>
        <v/>
      </c>
      <c r="N31" s="75"/>
      <c r="O31" s="64"/>
      <c r="P31" s="216" t="str">
        <f t="shared" si="2"/>
        <v/>
      </c>
      <c r="Q31" s="75"/>
      <c r="R31" s="64"/>
      <c r="S31" s="216" t="str">
        <f t="shared" si="3"/>
        <v/>
      </c>
      <c r="T31" s="75"/>
      <c r="U31" s="64"/>
      <c r="V31" s="64"/>
      <c r="W31" s="63" t="s">
        <v>64</v>
      </c>
      <c r="X31" s="57">
        <v>91</v>
      </c>
      <c r="Y31" s="61" t="s">
        <v>25</v>
      </c>
    </row>
    <row r="32" spans="2:25" x14ac:dyDescent="0.25">
      <c r="B32" s="76" t="s">
        <v>65</v>
      </c>
      <c r="C32" s="74"/>
      <c r="D32" s="201"/>
      <c r="E32" s="201"/>
      <c r="F32" s="201"/>
      <c r="G32" s="201"/>
      <c r="H32" s="223" t="str">
        <f t="shared" si="4"/>
        <v/>
      </c>
      <c r="I32" s="99"/>
      <c r="J32" s="215" t="str">
        <f t="shared" si="0"/>
        <v/>
      </c>
      <c r="K32" s="75"/>
      <c r="L32" s="64"/>
      <c r="M32" s="216" t="str">
        <f t="shared" si="1"/>
        <v/>
      </c>
      <c r="N32" s="75"/>
      <c r="O32" s="64"/>
      <c r="P32" s="216" t="str">
        <f t="shared" si="2"/>
        <v/>
      </c>
      <c r="Q32" s="75"/>
      <c r="R32" s="64"/>
      <c r="S32" s="216" t="str">
        <f t="shared" si="3"/>
        <v/>
      </c>
      <c r="T32" s="75"/>
      <c r="U32" s="64"/>
      <c r="V32" s="64"/>
      <c r="W32" s="243" t="s">
        <v>66</v>
      </c>
      <c r="X32" s="243"/>
      <c r="Y32" s="244"/>
    </row>
    <row r="33" spans="2:31" x14ac:dyDescent="0.25">
      <c r="B33" s="76" t="s">
        <v>67</v>
      </c>
      <c r="C33" s="74"/>
      <c r="D33" s="201"/>
      <c r="E33" s="201"/>
      <c r="F33" s="201"/>
      <c r="G33" s="201"/>
      <c r="H33" s="223" t="str">
        <f t="shared" si="4"/>
        <v/>
      </c>
      <c r="I33" s="99"/>
      <c r="J33" s="215" t="str">
        <f t="shared" si="0"/>
        <v/>
      </c>
      <c r="K33" s="75"/>
      <c r="L33" s="64"/>
      <c r="M33" s="216" t="str">
        <f t="shared" si="1"/>
        <v/>
      </c>
      <c r="N33" s="75"/>
      <c r="O33" s="64"/>
      <c r="P33" s="216" t="str">
        <f t="shared" si="2"/>
        <v/>
      </c>
      <c r="Q33" s="75"/>
      <c r="R33" s="64"/>
      <c r="S33" s="216" t="str">
        <f t="shared" si="3"/>
        <v/>
      </c>
      <c r="T33" s="75"/>
      <c r="U33" s="64"/>
      <c r="V33" s="64"/>
      <c r="W33" s="243"/>
      <c r="X33" s="243"/>
      <c r="Y33" s="244"/>
    </row>
    <row r="34" spans="2:31" x14ac:dyDescent="0.25">
      <c r="B34" s="76" t="s">
        <v>68</v>
      </c>
      <c r="C34" s="74"/>
      <c r="D34" s="201"/>
      <c r="E34" s="201"/>
      <c r="F34" s="201"/>
      <c r="G34" s="201"/>
      <c r="H34" s="223" t="str">
        <f t="shared" si="4"/>
        <v/>
      </c>
      <c r="I34" s="99"/>
      <c r="J34" s="215" t="str">
        <f t="shared" si="0"/>
        <v/>
      </c>
      <c r="K34" s="75"/>
      <c r="L34" s="64"/>
      <c r="M34" s="216" t="str">
        <f t="shared" si="1"/>
        <v/>
      </c>
      <c r="N34" s="75"/>
      <c r="O34" s="64"/>
      <c r="P34" s="216" t="str">
        <f t="shared" si="2"/>
        <v/>
      </c>
      <c r="Q34" s="75"/>
      <c r="R34" s="64"/>
      <c r="S34" s="216" t="str">
        <f t="shared" si="3"/>
        <v/>
      </c>
      <c r="T34" s="75"/>
      <c r="U34" s="64"/>
      <c r="V34" s="64"/>
      <c r="W34" s="19"/>
      <c r="X34" s="19"/>
      <c r="Y34" s="56"/>
    </row>
    <row r="35" spans="2:31" x14ac:dyDescent="0.25">
      <c r="B35" s="76" t="s">
        <v>69</v>
      </c>
      <c r="C35" s="74"/>
      <c r="D35" s="201"/>
      <c r="E35" s="201"/>
      <c r="F35" s="201"/>
      <c r="G35" s="201"/>
      <c r="H35" s="223" t="str">
        <f t="shared" si="4"/>
        <v/>
      </c>
      <c r="I35" s="99"/>
      <c r="J35" s="215" t="str">
        <f t="shared" si="0"/>
        <v/>
      </c>
      <c r="K35" s="75"/>
      <c r="L35" s="64"/>
      <c r="M35" s="216" t="str">
        <f t="shared" si="1"/>
        <v/>
      </c>
      <c r="N35" s="75"/>
      <c r="O35" s="64"/>
      <c r="P35" s="216" t="str">
        <f t="shared" si="2"/>
        <v/>
      </c>
      <c r="Q35" s="75"/>
      <c r="R35" s="64"/>
      <c r="S35" s="216" t="str">
        <f t="shared" si="3"/>
        <v/>
      </c>
      <c r="T35" s="75"/>
      <c r="U35" s="64"/>
      <c r="V35" s="64"/>
      <c r="W35" s="19"/>
      <c r="X35" s="19"/>
      <c r="Y35" s="56"/>
      <c r="AD35" s="154"/>
      <c r="AE35" s="154"/>
    </row>
    <row r="36" spans="2:31" x14ac:dyDescent="0.25">
      <c r="B36" s="76" t="s">
        <v>70</v>
      </c>
      <c r="C36" s="74"/>
      <c r="D36" s="201"/>
      <c r="E36" s="201"/>
      <c r="F36" s="201"/>
      <c r="G36" s="201"/>
      <c r="H36" s="223" t="str">
        <f t="shared" si="4"/>
        <v/>
      </c>
      <c r="I36" s="99"/>
      <c r="J36" s="215" t="str">
        <f t="shared" si="0"/>
        <v/>
      </c>
      <c r="K36" s="75"/>
      <c r="L36" s="64"/>
      <c r="M36" s="216" t="str">
        <f t="shared" si="1"/>
        <v/>
      </c>
      <c r="N36" s="75"/>
      <c r="O36" s="64"/>
      <c r="P36" s="216" t="str">
        <f t="shared" si="2"/>
        <v/>
      </c>
      <c r="Q36" s="75"/>
      <c r="R36" s="64"/>
      <c r="S36" s="216" t="str">
        <f t="shared" si="3"/>
        <v/>
      </c>
      <c r="T36" s="75"/>
      <c r="U36" s="64"/>
      <c r="V36" s="64"/>
      <c r="W36" s="19"/>
      <c r="X36" s="19"/>
      <c r="Y36" s="56"/>
    </row>
    <row r="37" spans="2:31" x14ac:dyDescent="0.25">
      <c r="B37" s="76" t="s">
        <v>71</v>
      </c>
      <c r="C37" s="74"/>
      <c r="D37" s="201"/>
      <c r="E37" s="201"/>
      <c r="F37" s="201"/>
      <c r="G37" s="201"/>
      <c r="H37" s="223" t="str">
        <f t="shared" si="4"/>
        <v/>
      </c>
      <c r="I37" s="99"/>
      <c r="J37" s="215" t="str">
        <f t="shared" si="0"/>
        <v/>
      </c>
      <c r="K37" s="75"/>
      <c r="L37" s="64"/>
      <c r="M37" s="216" t="str">
        <f t="shared" si="1"/>
        <v/>
      </c>
      <c r="N37" s="75"/>
      <c r="O37" s="64"/>
      <c r="P37" s="216" t="str">
        <f t="shared" si="2"/>
        <v/>
      </c>
      <c r="Q37" s="75"/>
      <c r="R37" s="64"/>
      <c r="S37" s="216" t="str">
        <f t="shared" si="3"/>
        <v/>
      </c>
      <c r="T37" s="75"/>
      <c r="U37" s="64"/>
      <c r="V37" s="64"/>
      <c r="W37" s="19"/>
      <c r="X37" s="19"/>
      <c r="Y37" s="56"/>
    </row>
    <row r="38" spans="2:31" x14ac:dyDescent="0.25">
      <c r="B38" s="76" t="s">
        <v>72</v>
      </c>
      <c r="C38" s="74"/>
      <c r="D38" s="201"/>
      <c r="E38" s="201"/>
      <c r="F38" s="201"/>
      <c r="G38" s="201"/>
      <c r="H38" s="223" t="str">
        <f t="shared" si="4"/>
        <v/>
      </c>
      <c r="I38" s="99"/>
      <c r="J38" s="215" t="str">
        <f t="shared" si="0"/>
        <v/>
      </c>
      <c r="K38" s="75"/>
      <c r="L38" s="64"/>
      <c r="M38" s="216" t="str">
        <f t="shared" si="1"/>
        <v/>
      </c>
      <c r="N38" s="75"/>
      <c r="O38" s="64"/>
      <c r="P38" s="216" t="str">
        <f t="shared" si="2"/>
        <v/>
      </c>
      <c r="Q38" s="75"/>
      <c r="R38" s="64"/>
      <c r="S38" s="216" t="str">
        <f t="shared" si="3"/>
        <v/>
      </c>
      <c r="T38" s="75"/>
      <c r="U38" s="64"/>
      <c r="V38" s="64"/>
      <c r="W38" s="19"/>
      <c r="X38" s="19"/>
      <c r="Y38" s="56"/>
    </row>
    <row r="39" spans="2:31" x14ac:dyDescent="0.25">
      <c r="B39" s="76" t="s">
        <v>73</v>
      </c>
      <c r="C39" s="74"/>
      <c r="D39" s="201"/>
      <c r="E39" s="201"/>
      <c r="F39" s="201"/>
      <c r="G39" s="201"/>
      <c r="H39" s="223" t="str">
        <f t="shared" si="4"/>
        <v/>
      </c>
      <c r="I39" s="99"/>
      <c r="J39" s="215" t="str">
        <f t="shared" si="0"/>
        <v/>
      </c>
      <c r="K39" s="75"/>
      <c r="L39" s="64"/>
      <c r="M39" s="216" t="str">
        <f t="shared" si="1"/>
        <v/>
      </c>
      <c r="N39" s="75"/>
      <c r="O39" s="64"/>
      <c r="P39" s="216" t="str">
        <f t="shared" si="2"/>
        <v/>
      </c>
      <c r="Q39" s="75"/>
      <c r="R39" s="64"/>
      <c r="S39" s="216" t="str">
        <f t="shared" si="3"/>
        <v/>
      </c>
      <c r="T39" s="75"/>
      <c r="U39" s="64"/>
      <c r="V39" s="64"/>
      <c r="W39" s="19"/>
      <c r="X39" s="19"/>
      <c r="Y39" s="56"/>
    </row>
    <row r="40" spans="2:31" x14ac:dyDescent="0.25">
      <c r="B40" s="76" t="s">
        <v>74</v>
      </c>
      <c r="C40" s="74"/>
      <c r="D40" s="201"/>
      <c r="E40" s="201"/>
      <c r="F40" s="201"/>
      <c r="G40" s="201"/>
      <c r="H40" s="223" t="str">
        <f t="shared" si="4"/>
        <v/>
      </c>
      <c r="I40" s="99"/>
      <c r="J40" s="215" t="str">
        <f t="shared" si="0"/>
        <v/>
      </c>
      <c r="K40" s="75"/>
      <c r="L40" s="64"/>
      <c r="M40" s="216" t="str">
        <f t="shared" si="1"/>
        <v/>
      </c>
      <c r="N40" s="75"/>
      <c r="O40" s="64"/>
      <c r="P40" s="216" t="str">
        <f t="shared" si="2"/>
        <v/>
      </c>
      <c r="Q40" s="75"/>
      <c r="R40" s="64"/>
      <c r="S40" s="216" t="str">
        <f t="shared" si="3"/>
        <v/>
      </c>
      <c r="T40" s="75"/>
      <c r="U40" s="64"/>
      <c r="V40" s="64"/>
      <c r="W40" s="58"/>
      <c r="X40" s="58"/>
      <c r="Y40" s="59"/>
    </row>
    <row r="41" spans="2:31" x14ac:dyDescent="0.25">
      <c r="C41" s="10"/>
      <c r="D41" s="10"/>
      <c r="E41" s="10"/>
      <c r="F41" s="69"/>
      <c r="G41" s="102"/>
      <c r="H41" s="67"/>
      <c r="I41" s="68"/>
      <c r="J41" s="36"/>
      <c r="K41" s="67"/>
      <c r="L41" s="68"/>
      <c r="M41" s="36"/>
      <c r="N41" s="67"/>
      <c r="O41" s="68"/>
      <c r="Q41" s="67"/>
      <c r="R41" s="68"/>
    </row>
    <row r="42" spans="2:31" s="2" customFormat="1" ht="40.5" customHeight="1" x14ac:dyDescent="0.3">
      <c r="B42" s="141" t="s">
        <v>75</v>
      </c>
      <c r="F42" s="1"/>
      <c r="G42" s="92"/>
      <c r="J42" s="47"/>
      <c r="K42" s="47"/>
      <c r="L42" s="47"/>
      <c r="M42" s="47"/>
      <c r="N42" s="47"/>
      <c r="O42" s="249"/>
      <c r="P42" s="249"/>
      <c r="Q42" s="249"/>
      <c r="R42" s="249"/>
      <c r="S42" s="163"/>
    </row>
    <row r="43" spans="2:31" s="2" customFormat="1" ht="40.5" customHeight="1" x14ac:dyDescent="0.3">
      <c r="B43" s="263" t="s">
        <v>76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5"/>
      <c r="T43" s="28"/>
      <c r="U43" s="255" t="s">
        <v>7</v>
      </c>
      <c r="V43" s="256"/>
      <c r="W43" s="256"/>
      <c r="X43" s="256"/>
      <c r="Y43" s="256"/>
      <c r="Z43" s="266"/>
      <c r="AA43" s="159"/>
    </row>
    <row r="44" spans="2:31" s="21" customFormat="1" ht="30" customHeight="1" x14ac:dyDescent="0.3">
      <c r="B44" s="250" t="s">
        <v>77</v>
      </c>
      <c r="C44" s="251"/>
      <c r="D44" s="251"/>
      <c r="E44" s="251"/>
      <c r="F44" s="251"/>
      <c r="G44" s="252"/>
      <c r="H44" s="253" t="s">
        <v>78</v>
      </c>
      <c r="I44" s="254"/>
      <c r="J44" s="246" t="s">
        <v>79</v>
      </c>
      <c r="K44" s="247"/>
      <c r="L44" s="247"/>
      <c r="M44" s="247"/>
      <c r="N44" s="248"/>
      <c r="O44" s="250" t="s">
        <v>80</v>
      </c>
      <c r="P44" s="251"/>
      <c r="Q44" s="251"/>
      <c r="R44" s="251"/>
      <c r="S44" s="252"/>
      <c r="T44" s="26"/>
      <c r="U44" s="262" t="s">
        <v>81</v>
      </c>
      <c r="V44" s="262"/>
      <c r="W44" s="262"/>
      <c r="X44" s="262"/>
      <c r="Y44" s="262"/>
      <c r="Z44" s="262"/>
      <c r="AA44" s="160"/>
      <c r="AB44" s="2"/>
    </row>
    <row r="45" spans="2:31" ht="60" x14ac:dyDescent="0.3">
      <c r="B45" s="3" t="s">
        <v>82</v>
      </c>
      <c r="C45" s="229" t="s">
        <v>83</v>
      </c>
      <c r="D45" s="230"/>
      <c r="E45" s="231"/>
      <c r="F45" s="3" t="s">
        <v>84</v>
      </c>
      <c r="G45" s="3" t="s">
        <v>85</v>
      </c>
      <c r="H45" s="229" t="s">
        <v>86</v>
      </c>
      <c r="I45" s="231"/>
      <c r="J45" s="3" t="s">
        <v>87</v>
      </c>
      <c r="K45" s="3" t="s">
        <v>88</v>
      </c>
      <c r="L45" s="3" t="s">
        <v>89</v>
      </c>
      <c r="M45" s="3" t="s">
        <v>90</v>
      </c>
      <c r="N45" s="3" t="s">
        <v>91</v>
      </c>
      <c r="O45" s="3" t="s">
        <v>92</v>
      </c>
      <c r="P45" s="272" t="s">
        <v>204</v>
      </c>
      <c r="Q45" s="3" t="s">
        <v>93</v>
      </c>
      <c r="R45" s="3" t="s">
        <v>94</v>
      </c>
      <c r="S45" s="3" t="s">
        <v>95</v>
      </c>
      <c r="T45" s="27"/>
      <c r="U45" s="42" t="s">
        <v>96</v>
      </c>
      <c r="V45" s="42" t="s">
        <v>97</v>
      </c>
      <c r="W45" s="42" t="s">
        <v>98</v>
      </c>
      <c r="X45" s="43" t="s">
        <v>99</v>
      </c>
      <c r="Y45" s="43" t="s">
        <v>100</v>
      </c>
      <c r="Z45" s="43" t="s">
        <v>101</v>
      </c>
      <c r="AA45" s="157"/>
      <c r="AB45" s="2"/>
    </row>
    <row r="46" spans="2:31" s="116" customFormat="1" ht="18.75" x14ac:dyDescent="0.3">
      <c r="B46" s="117" t="s">
        <v>56</v>
      </c>
      <c r="C46" s="232" t="s">
        <v>103</v>
      </c>
      <c r="D46" s="233"/>
      <c r="E46" s="234"/>
      <c r="F46" s="119" t="s">
        <v>136</v>
      </c>
      <c r="G46" s="119">
        <v>3</v>
      </c>
      <c r="H46" s="232" t="s">
        <v>57</v>
      </c>
      <c r="I46" s="234"/>
      <c r="J46" s="120">
        <v>-100</v>
      </c>
      <c r="K46" s="120">
        <v>0</v>
      </c>
      <c r="L46" s="120">
        <v>0</v>
      </c>
      <c r="M46" s="120">
        <v>0</v>
      </c>
      <c r="N46" s="120">
        <v>0</v>
      </c>
      <c r="O46" s="121">
        <v>1000</v>
      </c>
      <c r="P46" s="121">
        <v>100</v>
      </c>
      <c r="Q46" s="121">
        <v>100</v>
      </c>
      <c r="R46" s="121">
        <v>100</v>
      </c>
      <c r="S46" s="121">
        <v>-10</v>
      </c>
      <c r="T46" s="122"/>
      <c r="U46" s="123">
        <f>J46*$X$29+K46*$X$28+L46*$X$30+M46*$X$31</f>
        <v>-341.2</v>
      </c>
      <c r="V46" s="124">
        <f>IFERROR(U46/VLOOKUP(H46,$C$28:$J$40,2,FALSE),"")</f>
        <v>-34.119999999999997</v>
      </c>
      <c r="W46" s="125">
        <f>IF(F46="Proposed",O46-P46-Q46-R46,0)</f>
        <v>700</v>
      </c>
      <c r="X46" s="125">
        <f>-IFERROR(J46*VLOOKUP(H46,$C$28:$T$40,4,FALSE)+K46*VLOOKUP(H46,$C$28:$T$40,7,FALSE)+L46*VLOOKUP(H46,$C$28:$T$40,10,FALSE)+M46*VLOOKUP(H46,$C$28:$T$40,13,FALSE),0)</f>
        <v>1000</v>
      </c>
      <c r="Y46" s="125">
        <f>X46+S46</f>
        <v>990</v>
      </c>
      <c r="Z46" s="126">
        <f>-IFERROR(J46*VLOOKUP(H46,$C$28:$T$40,4,FALSE)*0.5*G46*(2+VLOOKUP(H46,$C$28:$T$40,5,FALSE)*(G46-1))+K46*VLOOKUP(H46,$C$28:$T$40,7,FALSE)*0.5*G46*(2+VLOOKUP(H46,$C$28:$T$40,8,FALSE)*(G46-1))+L46*VLOOKUP(H46,$C$28:$T$40,10,FALSE)*0.5*G46*(2+VLOOKUP(H46,$C$28:$T$40,11,FALSE)*(G46-1))+M46*VLOOKUP(H46,$C$28:$T$40,13,FALSE)*0.5*G46*(2+VLOOKUP(H46,$C$28:$T$40,14,FALSE)*(G46-1))-(PV($R$18,G46-1,S46)-S46),0)</f>
        <v>33029.134696955414</v>
      </c>
      <c r="AA46" s="158"/>
      <c r="AB46" s="2"/>
    </row>
    <row r="47" spans="2:31" ht="18.75" x14ac:dyDescent="0.3">
      <c r="B47" s="5" t="s">
        <v>105</v>
      </c>
      <c r="C47" s="226" t="s">
        <v>203</v>
      </c>
      <c r="D47" s="227"/>
      <c r="E47" s="228"/>
      <c r="F47" s="109" t="s">
        <v>136</v>
      </c>
      <c r="G47" s="104">
        <v>10</v>
      </c>
      <c r="H47" s="226" t="s">
        <v>198</v>
      </c>
      <c r="I47" s="228"/>
      <c r="J47" s="80">
        <v>-100</v>
      </c>
      <c r="K47" s="80">
        <v>0</v>
      </c>
      <c r="L47" s="80">
        <v>0</v>
      </c>
      <c r="M47" s="80">
        <v>0</v>
      </c>
      <c r="N47" s="80">
        <v>-10</v>
      </c>
      <c r="O47" s="23">
        <v>500000</v>
      </c>
      <c r="P47" s="196">
        <v>1000</v>
      </c>
      <c r="Q47" s="23"/>
      <c r="R47" s="23"/>
      <c r="S47" s="23">
        <v>-100</v>
      </c>
      <c r="T47" s="28"/>
      <c r="U47" s="71">
        <f>J47*$X$29+K47*$X$28+L47*$X$30+M47*$X$31</f>
        <v>-341.2</v>
      </c>
      <c r="V47" s="45">
        <f>IFERROR(U47/_xlfn.XLOOKUP(H47,$C$28:$C$40,$H$28:$H$40,2,FALSE),"")</f>
        <v>-1.9954616698247829E-3</v>
      </c>
      <c r="W47" s="152">
        <f>IF(F47="Proposed",O47-P64-Q47-R47,0)</f>
        <v>500000</v>
      </c>
      <c r="X47" s="72">
        <f t="shared" ref="X47:X56" si="5">-IFERROR(J47*VLOOKUP(H47,$C$28:$T$40,4,FALSE)+K47*VLOOKUP(H47,$C$28:$T$40,7,FALSE)+L47*VLOOKUP(H47,$C$28:$T$40,10,FALSE)+M47*VLOOKUP(H47,$C$28:$T$40,13,FALSE),0)</f>
        <v>1200</v>
      </c>
      <c r="Y47" s="72">
        <f>X47+S47</f>
        <v>1100</v>
      </c>
      <c r="Z47" s="46">
        <f t="shared" ref="Z47:Z56" si="6">-IFERROR(J47*VLOOKUP(H47,$C$28:$T$40,4,FALSE)*0.5*G47*(2+VLOOKUP(H47,$C$28:$T$40,5,FALSE)*(G47-1))+K47*VLOOKUP(H47,$C$28:$T$40,7,FALSE)*0.5*G47*(2+VLOOKUP(H47,$C$28:$T$40,8,FALSE)*(G47-1))+L47*VLOOKUP(H47,$C$28:$T$40,10,FALSE)*0.5*G47*(2+VLOOKUP(H47,$C$28:$T$40,11,FALSE)*(G47-1))+M47*VLOOKUP(H47,$C$28:$T$40,13,FALSE)*0.5*G47*(2+VLOOKUP(H47,$C$28:$T$40,14,FALSE)*(G47-1))-(PV($R$18,G47-1,S47)-S47),0)</f>
        <v>660878.61089218792</v>
      </c>
      <c r="AA47" s="158"/>
      <c r="AB47" s="2"/>
    </row>
    <row r="48" spans="2:31" ht="18.75" x14ac:dyDescent="0.3">
      <c r="B48" s="5" t="s">
        <v>106</v>
      </c>
      <c r="C48" s="226"/>
      <c r="D48" s="227"/>
      <c r="E48" s="228"/>
      <c r="F48" s="109"/>
      <c r="G48" s="104"/>
      <c r="H48" s="226"/>
      <c r="I48" s="228"/>
      <c r="J48" s="80"/>
      <c r="K48" s="80"/>
      <c r="L48" s="80"/>
      <c r="M48" s="80"/>
      <c r="N48" s="80"/>
      <c r="O48" s="23"/>
      <c r="P48" s="23"/>
      <c r="Q48" s="23"/>
      <c r="R48" s="23"/>
      <c r="S48" s="23"/>
      <c r="T48" s="28"/>
      <c r="U48" s="71">
        <f t="shared" ref="U48:U56" si="7">J48*$X$29+K48*$X$28+L48*$X$30+M48*$X$31</f>
        <v>0</v>
      </c>
      <c r="V48" s="45" t="str">
        <f t="shared" ref="V48:V56" si="8">IFERROR(U48/_xlfn.XLOOKUP(H48,$C$28:$C$40,$H$28:$H$40,2,FALSE),"")</f>
        <v/>
      </c>
      <c r="W48" s="152">
        <f t="shared" ref="W48:W56" si="9">IF(F48="Proposed",O48-P48-Q48-R48,0)</f>
        <v>0</v>
      </c>
      <c r="X48" s="72">
        <f t="shared" si="5"/>
        <v>0</v>
      </c>
      <c r="Y48" s="72">
        <f t="shared" ref="Y48:Y56" si="10">X48+S48</f>
        <v>0</v>
      </c>
      <c r="Z48" s="126">
        <f t="shared" si="6"/>
        <v>0</v>
      </c>
      <c r="AA48" s="158"/>
      <c r="AB48" s="2"/>
    </row>
    <row r="49" spans="2:28" ht="18.75" x14ac:dyDescent="0.3">
      <c r="B49" s="5" t="s">
        <v>107</v>
      </c>
      <c r="C49" s="226"/>
      <c r="D49" s="227"/>
      <c r="E49" s="228"/>
      <c r="F49" s="109"/>
      <c r="G49" s="104"/>
      <c r="H49" s="226"/>
      <c r="I49" s="228"/>
      <c r="J49" s="80"/>
      <c r="K49" s="80"/>
      <c r="L49" s="80"/>
      <c r="M49" s="80"/>
      <c r="N49" s="80"/>
      <c r="O49" s="23"/>
      <c r="P49" s="23"/>
      <c r="Q49" s="23"/>
      <c r="R49" s="23"/>
      <c r="S49" s="23"/>
      <c r="T49" s="28"/>
      <c r="U49" s="71">
        <f t="shared" si="7"/>
        <v>0</v>
      </c>
      <c r="V49" s="45" t="str">
        <f t="shared" si="8"/>
        <v/>
      </c>
      <c r="W49" s="152">
        <f t="shared" si="9"/>
        <v>0</v>
      </c>
      <c r="X49" s="72">
        <f t="shared" si="5"/>
        <v>0</v>
      </c>
      <c r="Y49" s="72">
        <f t="shared" si="10"/>
        <v>0</v>
      </c>
      <c r="Z49" s="126">
        <f t="shared" si="6"/>
        <v>0</v>
      </c>
      <c r="AA49" s="158"/>
      <c r="AB49" s="2"/>
    </row>
    <row r="50" spans="2:28" ht="18.75" x14ac:dyDescent="0.3">
      <c r="B50" s="5" t="s">
        <v>108</v>
      </c>
      <c r="C50" s="226"/>
      <c r="D50" s="227"/>
      <c r="E50" s="228"/>
      <c r="F50" s="109"/>
      <c r="G50" s="104"/>
      <c r="H50" s="226"/>
      <c r="I50" s="228"/>
      <c r="J50" s="80"/>
      <c r="K50" s="80"/>
      <c r="L50" s="80"/>
      <c r="M50" s="80"/>
      <c r="N50" s="80"/>
      <c r="O50" s="23"/>
      <c r="P50" s="23"/>
      <c r="Q50" s="23"/>
      <c r="R50" s="23"/>
      <c r="S50" s="23"/>
      <c r="T50" s="28"/>
      <c r="U50" s="71">
        <f t="shared" si="7"/>
        <v>0</v>
      </c>
      <c r="V50" s="45" t="str">
        <f t="shared" si="8"/>
        <v/>
      </c>
      <c r="W50" s="152">
        <f t="shared" si="9"/>
        <v>0</v>
      </c>
      <c r="X50" s="72">
        <f t="shared" si="5"/>
        <v>0</v>
      </c>
      <c r="Y50" s="72">
        <f t="shared" si="10"/>
        <v>0</v>
      </c>
      <c r="Z50" s="126">
        <f t="shared" si="6"/>
        <v>0</v>
      </c>
      <c r="AA50" s="158"/>
      <c r="AB50" s="2"/>
    </row>
    <row r="51" spans="2:28" ht="18.75" x14ac:dyDescent="0.3">
      <c r="B51" s="5" t="s">
        <v>109</v>
      </c>
      <c r="C51" s="226"/>
      <c r="D51" s="227"/>
      <c r="E51" s="228"/>
      <c r="F51" s="109"/>
      <c r="G51" s="104"/>
      <c r="H51" s="226"/>
      <c r="I51" s="228"/>
      <c r="J51" s="80"/>
      <c r="K51" s="80"/>
      <c r="L51" s="80"/>
      <c r="M51" s="80"/>
      <c r="N51" s="80"/>
      <c r="O51" s="23"/>
      <c r="P51" s="23"/>
      <c r="Q51" s="23"/>
      <c r="R51" s="23"/>
      <c r="S51" s="23"/>
      <c r="T51" s="28"/>
      <c r="U51" s="71">
        <f t="shared" si="7"/>
        <v>0</v>
      </c>
      <c r="V51" s="45" t="str">
        <f t="shared" si="8"/>
        <v/>
      </c>
      <c r="W51" s="152">
        <f t="shared" si="9"/>
        <v>0</v>
      </c>
      <c r="X51" s="72">
        <f t="shared" si="5"/>
        <v>0</v>
      </c>
      <c r="Y51" s="72">
        <f t="shared" si="10"/>
        <v>0</v>
      </c>
      <c r="Z51" s="126">
        <f t="shared" si="6"/>
        <v>0</v>
      </c>
      <c r="AA51" s="158"/>
      <c r="AB51" s="2"/>
    </row>
    <row r="52" spans="2:28" ht="18.75" x14ac:dyDescent="0.3">
      <c r="B52" s="5" t="s">
        <v>110</v>
      </c>
      <c r="C52" s="226"/>
      <c r="D52" s="227"/>
      <c r="E52" s="228"/>
      <c r="F52" s="109"/>
      <c r="G52" s="104"/>
      <c r="H52" s="226"/>
      <c r="I52" s="228"/>
      <c r="J52" s="80"/>
      <c r="K52" s="80"/>
      <c r="L52" s="80"/>
      <c r="M52" s="80"/>
      <c r="N52" s="80"/>
      <c r="O52" s="23"/>
      <c r="P52" s="23"/>
      <c r="Q52" s="23"/>
      <c r="R52" s="23"/>
      <c r="S52" s="23"/>
      <c r="T52" s="28"/>
      <c r="U52" s="71">
        <f t="shared" si="7"/>
        <v>0</v>
      </c>
      <c r="V52" s="45" t="str">
        <f t="shared" si="8"/>
        <v/>
      </c>
      <c r="W52" s="152">
        <f t="shared" si="9"/>
        <v>0</v>
      </c>
      <c r="X52" s="72">
        <f t="shared" si="5"/>
        <v>0</v>
      </c>
      <c r="Y52" s="72">
        <f t="shared" si="10"/>
        <v>0</v>
      </c>
      <c r="Z52" s="126">
        <f t="shared" si="6"/>
        <v>0</v>
      </c>
      <c r="AA52" s="158"/>
      <c r="AB52" s="2"/>
    </row>
    <row r="53" spans="2:28" ht="18.75" x14ac:dyDescent="0.3">
      <c r="B53" s="5" t="s">
        <v>111</v>
      </c>
      <c r="C53" s="226"/>
      <c r="D53" s="227"/>
      <c r="E53" s="228"/>
      <c r="F53" s="109"/>
      <c r="G53" s="104"/>
      <c r="H53" s="226"/>
      <c r="I53" s="228"/>
      <c r="J53" s="80"/>
      <c r="K53" s="80"/>
      <c r="L53" s="80"/>
      <c r="M53" s="80"/>
      <c r="N53" s="80"/>
      <c r="O53" s="23"/>
      <c r="P53" s="23"/>
      <c r="Q53" s="23"/>
      <c r="R53" s="23"/>
      <c r="S53" s="23"/>
      <c r="T53" s="28"/>
      <c r="U53" s="71">
        <f t="shared" si="7"/>
        <v>0</v>
      </c>
      <c r="V53" s="45" t="str">
        <f t="shared" si="8"/>
        <v/>
      </c>
      <c r="W53" s="152">
        <f t="shared" si="9"/>
        <v>0</v>
      </c>
      <c r="X53" s="72">
        <f t="shared" si="5"/>
        <v>0</v>
      </c>
      <c r="Y53" s="72">
        <f t="shared" si="10"/>
        <v>0</v>
      </c>
      <c r="Z53" s="126">
        <f t="shared" si="6"/>
        <v>0</v>
      </c>
      <c r="AA53" s="158"/>
      <c r="AB53" s="2"/>
    </row>
    <row r="54" spans="2:28" ht="18.75" x14ac:dyDescent="0.3">
      <c r="B54" s="5" t="s">
        <v>112</v>
      </c>
      <c r="C54" s="226"/>
      <c r="D54" s="227"/>
      <c r="E54" s="228"/>
      <c r="F54" s="109"/>
      <c r="G54" s="104"/>
      <c r="H54" s="226"/>
      <c r="I54" s="228"/>
      <c r="J54" s="80"/>
      <c r="K54" s="80"/>
      <c r="L54" s="80"/>
      <c r="M54" s="80"/>
      <c r="N54" s="80"/>
      <c r="O54" s="23"/>
      <c r="P54" s="23"/>
      <c r="Q54" s="23"/>
      <c r="R54" s="23"/>
      <c r="S54" s="23"/>
      <c r="T54" s="28"/>
      <c r="U54" s="71">
        <f t="shared" si="7"/>
        <v>0</v>
      </c>
      <c r="V54" s="45" t="str">
        <f t="shared" si="8"/>
        <v/>
      </c>
      <c r="W54" s="152">
        <f t="shared" si="9"/>
        <v>0</v>
      </c>
      <c r="X54" s="72">
        <f t="shared" si="5"/>
        <v>0</v>
      </c>
      <c r="Y54" s="72">
        <f t="shared" si="10"/>
        <v>0</v>
      </c>
      <c r="Z54" s="126">
        <f t="shared" si="6"/>
        <v>0</v>
      </c>
      <c r="AA54" s="158"/>
      <c r="AB54" s="2"/>
    </row>
    <row r="55" spans="2:28" ht="18.75" x14ac:dyDescent="0.3">
      <c r="B55" s="5" t="s">
        <v>113</v>
      </c>
      <c r="C55" s="226"/>
      <c r="D55" s="227"/>
      <c r="E55" s="228"/>
      <c r="F55" s="109"/>
      <c r="G55" s="104"/>
      <c r="H55" s="226"/>
      <c r="I55" s="228"/>
      <c r="J55" s="80"/>
      <c r="K55" s="80"/>
      <c r="L55" s="80"/>
      <c r="M55" s="80"/>
      <c r="N55" s="80"/>
      <c r="O55" s="23"/>
      <c r="P55" s="23"/>
      <c r="Q55" s="23"/>
      <c r="R55" s="23"/>
      <c r="S55" s="23"/>
      <c r="T55" s="28"/>
      <c r="U55" s="71">
        <f t="shared" si="7"/>
        <v>0</v>
      </c>
      <c r="V55" s="45" t="str">
        <f t="shared" si="8"/>
        <v/>
      </c>
      <c r="W55" s="152">
        <f t="shared" si="9"/>
        <v>0</v>
      </c>
      <c r="X55" s="72">
        <f t="shared" si="5"/>
        <v>0</v>
      </c>
      <c r="Y55" s="72">
        <f t="shared" si="10"/>
        <v>0</v>
      </c>
      <c r="Z55" s="126">
        <f t="shared" si="6"/>
        <v>0</v>
      </c>
      <c r="AA55" s="158"/>
      <c r="AB55" s="2"/>
    </row>
    <row r="56" spans="2:28" ht="18.75" x14ac:dyDescent="0.3">
      <c r="B56" s="5" t="s">
        <v>114</v>
      </c>
      <c r="C56" s="226"/>
      <c r="D56" s="227"/>
      <c r="E56" s="228"/>
      <c r="F56" s="109"/>
      <c r="G56" s="104"/>
      <c r="H56" s="226"/>
      <c r="I56" s="228"/>
      <c r="J56" s="80"/>
      <c r="K56" s="80"/>
      <c r="L56" s="80"/>
      <c r="M56" s="80"/>
      <c r="N56" s="80"/>
      <c r="O56" s="23"/>
      <c r="P56" s="23"/>
      <c r="Q56" s="23"/>
      <c r="R56" s="23"/>
      <c r="S56" s="23"/>
      <c r="T56" s="28"/>
      <c r="U56" s="71">
        <f t="shared" si="7"/>
        <v>0</v>
      </c>
      <c r="V56" s="45" t="str">
        <f t="shared" si="8"/>
        <v/>
      </c>
      <c r="W56" s="152">
        <f t="shared" si="9"/>
        <v>0</v>
      </c>
      <c r="X56" s="72">
        <f t="shared" si="5"/>
        <v>0</v>
      </c>
      <c r="Y56" s="72">
        <f t="shared" si="10"/>
        <v>0</v>
      </c>
      <c r="Z56" s="126">
        <f t="shared" si="6"/>
        <v>0</v>
      </c>
      <c r="AA56" s="158"/>
      <c r="AB56" s="2"/>
    </row>
    <row r="57" spans="2:28" s="8" customFormat="1" ht="18.75" x14ac:dyDescent="0.3">
      <c r="B57" s="7" t="s">
        <v>115</v>
      </c>
      <c r="C57" s="25"/>
      <c r="D57" s="25"/>
      <c r="E57" s="25"/>
      <c r="F57" s="27"/>
      <c r="G57" s="105"/>
      <c r="H57" s="235"/>
      <c r="I57" s="236"/>
      <c r="J57" s="81">
        <f>SUM(J47:J56)</f>
        <v>-100</v>
      </c>
      <c r="K57" s="81">
        <f t="shared" ref="K57:N57" si="11">SUM(K47:K56)</f>
        <v>0</v>
      </c>
      <c r="L57" s="81">
        <f t="shared" si="11"/>
        <v>0</v>
      </c>
      <c r="M57" s="81">
        <f t="shared" si="11"/>
        <v>0</v>
      </c>
      <c r="N57" s="81">
        <f t="shared" si="11"/>
        <v>-10</v>
      </c>
      <c r="O57" s="79">
        <f>SUM(O47:O56)</f>
        <v>500000</v>
      </c>
      <c r="P57" s="79">
        <f t="shared" ref="P57:S57" si="12">SUM(P47:P56)</f>
        <v>1000</v>
      </c>
      <c r="Q57" s="79">
        <f t="shared" si="12"/>
        <v>0</v>
      </c>
      <c r="R57" s="79">
        <f t="shared" si="12"/>
        <v>0</v>
      </c>
      <c r="S57" s="79">
        <f t="shared" si="12"/>
        <v>-100</v>
      </c>
      <c r="T57" s="29"/>
      <c r="U57" s="83">
        <f>SUM(U47:U56)</f>
        <v>-341.2</v>
      </c>
      <c r="V57" s="87"/>
      <c r="W57" s="82">
        <f t="shared" ref="W57:Y57" si="13">SUM(W47:W56)</f>
        <v>500000</v>
      </c>
      <c r="X57" s="82">
        <f t="shared" si="13"/>
        <v>1200</v>
      </c>
      <c r="Y57" s="82">
        <f t="shared" si="13"/>
        <v>1100</v>
      </c>
      <c r="Z57" s="82">
        <f>SUM(Z47:Z56)</f>
        <v>660878.61089218792</v>
      </c>
      <c r="AA57" s="115"/>
      <c r="AB57" s="2"/>
    </row>
    <row r="58" spans="2:28" customFormat="1" ht="18.75" x14ac:dyDescent="0.3">
      <c r="G58" s="91"/>
      <c r="AB58" s="2"/>
    </row>
    <row r="59" spans="2:28" s="2" customFormat="1" ht="18.75" x14ac:dyDescent="0.3">
      <c r="B59" s="141" t="s">
        <v>116</v>
      </c>
      <c r="F59" s="1"/>
      <c r="G59" s="92"/>
    </row>
    <row r="60" spans="2:28" s="2" customFormat="1" ht="40.5" customHeight="1" x14ac:dyDescent="0.3">
      <c r="B60" s="181" t="s">
        <v>76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3"/>
      <c r="U60" s="28"/>
      <c r="V60" s="267" t="s">
        <v>7</v>
      </c>
      <c r="W60" s="268"/>
      <c r="X60" s="268"/>
      <c r="Y60" s="268"/>
      <c r="Z60" s="268"/>
      <c r="AA60" s="268"/>
      <c r="AB60" s="159"/>
    </row>
    <row r="61" spans="2:28" s="21" customFormat="1" ht="30" customHeight="1" x14ac:dyDescent="0.25">
      <c r="B61" s="250" t="s">
        <v>117</v>
      </c>
      <c r="C61" s="251"/>
      <c r="D61" s="251"/>
      <c r="E61" s="251"/>
      <c r="F61" s="251"/>
      <c r="G61" s="252"/>
      <c r="H61" s="253" t="s">
        <v>78</v>
      </c>
      <c r="I61" s="254"/>
      <c r="J61" s="246" t="s">
        <v>118</v>
      </c>
      <c r="K61" s="247"/>
      <c r="L61" s="247"/>
      <c r="M61" s="247"/>
      <c r="N61" s="248"/>
      <c r="O61" s="184" t="s">
        <v>80</v>
      </c>
      <c r="P61" s="185"/>
      <c r="Q61" s="185"/>
      <c r="R61" s="185"/>
      <c r="S61" s="185"/>
      <c r="T61" s="186"/>
      <c r="U61" s="26"/>
      <c r="V61" s="262" t="s">
        <v>81</v>
      </c>
      <c r="W61" s="262"/>
      <c r="X61" s="262"/>
      <c r="Y61" s="262"/>
      <c r="Z61" s="262"/>
      <c r="AA61" s="262"/>
      <c r="AB61" s="160"/>
    </row>
    <row r="62" spans="2:28" ht="75" x14ac:dyDescent="0.25">
      <c r="B62" s="3" t="s">
        <v>119</v>
      </c>
      <c r="C62" s="229" t="s">
        <v>120</v>
      </c>
      <c r="D62" s="230"/>
      <c r="E62" s="230"/>
      <c r="F62" s="231"/>
      <c r="G62" s="162" t="s">
        <v>121</v>
      </c>
      <c r="H62" s="229" t="s">
        <v>122</v>
      </c>
      <c r="I62" s="231"/>
      <c r="J62" s="3" t="s">
        <v>123</v>
      </c>
      <c r="K62" s="3" t="s">
        <v>124</v>
      </c>
      <c r="L62" s="3" t="s">
        <v>125</v>
      </c>
      <c r="M62" s="3" t="s">
        <v>126</v>
      </c>
      <c r="N62" s="3" t="s">
        <v>127</v>
      </c>
      <c r="O62" s="3" t="s">
        <v>128</v>
      </c>
      <c r="P62" s="272" t="s">
        <v>206</v>
      </c>
      <c r="Q62" s="3" t="s">
        <v>129</v>
      </c>
      <c r="R62" s="3" t="s">
        <v>130</v>
      </c>
      <c r="S62" s="3" t="s">
        <v>131</v>
      </c>
      <c r="T62" s="272" t="s">
        <v>207</v>
      </c>
      <c r="U62" s="27"/>
      <c r="V62" s="42" t="s">
        <v>132</v>
      </c>
      <c r="W62" s="42" t="s">
        <v>133</v>
      </c>
      <c r="X62" s="42" t="s">
        <v>98</v>
      </c>
      <c r="Y62" s="43" t="s">
        <v>99</v>
      </c>
      <c r="Z62" s="43" t="s">
        <v>134</v>
      </c>
      <c r="AA62" s="43" t="s">
        <v>101</v>
      </c>
      <c r="AB62" s="157"/>
    </row>
    <row r="63" spans="2:28" s="116" customFormat="1" x14ac:dyDescent="0.25">
      <c r="B63" s="117" t="s">
        <v>56</v>
      </c>
      <c r="C63" s="232" t="s">
        <v>135</v>
      </c>
      <c r="D63" s="233"/>
      <c r="E63" s="233"/>
      <c r="F63" s="234"/>
      <c r="G63" s="127" t="s">
        <v>136</v>
      </c>
      <c r="H63" s="232" t="s">
        <v>57</v>
      </c>
      <c r="I63" s="234"/>
      <c r="J63" s="118" t="s">
        <v>137</v>
      </c>
      <c r="K63" s="119" t="s">
        <v>138</v>
      </c>
      <c r="L63" s="132">
        <v>250</v>
      </c>
      <c r="M63" s="132">
        <v>30000</v>
      </c>
      <c r="N63" s="119" t="s">
        <v>139</v>
      </c>
      <c r="O63" s="135">
        <v>50000</v>
      </c>
      <c r="P63" s="198">
        <v>0.1</v>
      </c>
      <c r="Q63" s="135">
        <v>0</v>
      </c>
      <c r="R63" s="128">
        <v>0</v>
      </c>
      <c r="S63" s="128">
        <v>0</v>
      </c>
      <c r="T63" s="128"/>
      <c r="U63" s="122"/>
      <c r="V63" s="130">
        <f>O63-SUM(Q63:S63)</f>
        <v>50000</v>
      </c>
      <c r="W63" s="129">
        <f>M63*$X$29</f>
        <v>102360</v>
      </c>
      <c r="X63" s="130">
        <f t="shared" ref="X63:X73" si="14">IF(G63="Proposed",V63,0)</f>
        <v>50000</v>
      </c>
      <c r="Y63" s="130">
        <f>IFERROR(IF(P63&gt;0,(P63*M63)-T63,M63*VLOOKUP(H63,$C$28:$J$40,4,FALSE)),0)</f>
        <v>3000</v>
      </c>
      <c r="Z63" s="130">
        <f t="shared" ref="Z63:Z73" si="15">IFERROR(O63/L63/1000," ")</f>
        <v>0.2</v>
      </c>
      <c r="AA63" s="130"/>
      <c r="AB63" s="158"/>
    </row>
    <row r="64" spans="2:28" x14ac:dyDescent="0.25">
      <c r="B64" s="5" t="s">
        <v>140</v>
      </c>
      <c r="C64" s="226" t="s">
        <v>205</v>
      </c>
      <c r="D64" s="227"/>
      <c r="E64" s="227"/>
      <c r="F64" s="228"/>
      <c r="G64" s="106" t="s">
        <v>136</v>
      </c>
      <c r="H64" s="226" t="s">
        <v>198</v>
      </c>
      <c r="I64" s="228"/>
      <c r="J64" s="22" t="s">
        <v>137</v>
      </c>
      <c r="K64" s="104" t="s">
        <v>175</v>
      </c>
      <c r="L64" s="133">
        <v>69.2</v>
      </c>
      <c r="M64" s="133">
        <v>81000</v>
      </c>
      <c r="N64" s="104"/>
      <c r="O64" s="136">
        <v>221260</v>
      </c>
      <c r="P64" s="199"/>
      <c r="Q64" s="136">
        <v>42520</v>
      </c>
      <c r="R64" s="176">
        <v>59740.2</v>
      </c>
      <c r="S64" s="6"/>
      <c r="T64" s="176">
        <v>0</v>
      </c>
      <c r="U64" s="28"/>
      <c r="V64" s="84">
        <f>O64-SUM(Q64:S64)</f>
        <v>118999.8</v>
      </c>
      <c r="W64" s="85">
        <f t="shared" ref="W64:W73" si="16">M64*$X$29</f>
        <v>276372</v>
      </c>
      <c r="X64" s="153">
        <f t="shared" si="14"/>
        <v>118999.8</v>
      </c>
      <c r="Y64" s="153">
        <f>IFERROR(IF(P64&gt;0,(P64*M64)-T64,M64*_xlfn.XLOOKUP(H64,$C$29:$C$40,$J$29:$J$40)-T64),0)</f>
        <v>14730.660000000002</v>
      </c>
      <c r="Z64" s="153">
        <f t="shared" si="15"/>
        <v>3.1973988439306358</v>
      </c>
      <c r="AA64" s="197">
        <f>(M64*_xlfn.XLOOKUP(H64,$C$28:$C$40,$J$28:$J$40,"n/a",0,1)*0.5*25*(2+_xlfn.XLOOKUP(H64,$C$28:$C$40,$K$28:$K$40,"n/a",0,1)*24))-(T64*25)</f>
        <v>810186.30000000016</v>
      </c>
      <c r="AB64" s="158"/>
    </row>
    <row r="65" spans="2:28" x14ac:dyDescent="0.25">
      <c r="B65" s="5" t="s">
        <v>141</v>
      </c>
      <c r="C65" s="226"/>
      <c r="D65" s="227"/>
      <c r="E65" s="227"/>
      <c r="F65" s="228"/>
      <c r="G65" s="106"/>
      <c r="H65" s="226"/>
      <c r="I65" s="228"/>
      <c r="J65" s="22"/>
      <c r="K65" s="104"/>
      <c r="L65" s="133"/>
      <c r="M65" s="133"/>
      <c r="N65" s="104"/>
      <c r="O65" s="136"/>
      <c r="P65" s="200"/>
      <c r="Q65" s="136"/>
      <c r="R65" s="6"/>
      <c r="S65" s="6"/>
      <c r="T65" s="6"/>
      <c r="U65" s="28"/>
      <c r="V65" s="84">
        <f t="shared" ref="V65:V73" si="17">O65-SUM(Q65:S65)</f>
        <v>0</v>
      </c>
      <c r="W65" s="187">
        <f t="shared" si="16"/>
        <v>0</v>
      </c>
      <c r="X65" s="153">
        <f t="shared" si="14"/>
        <v>0</v>
      </c>
      <c r="Y65" s="153">
        <f t="shared" ref="Y65:Y73" si="18">IFERROR(IF(P65&gt;0,(P65*M65)-T65,M65*_xlfn.XLOOKUP(H65,$C$29:$C$40,$J$29:$J$40)-T65),0)</f>
        <v>0</v>
      </c>
      <c r="Z65" s="153" t="str">
        <f t="shared" si="15"/>
        <v xml:space="preserve"> </v>
      </c>
      <c r="AA65" s="153"/>
      <c r="AB65" s="158"/>
    </row>
    <row r="66" spans="2:28" x14ac:dyDescent="0.25">
      <c r="B66" s="5" t="s">
        <v>142</v>
      </c>
      <c r="C66" s="226"/>
      <c r="D66" s="227"/>
      <c r="E66" s="227"/>
      <c r="F66" s="228"/>
      <c r="G66" s="106"/>
      <c r="H66" s="226"/>
      <c r="I66" s="228"/>
      <c r="J66" s="22"/>
      <c r="K66" s="104"/>
      <c r="L66" s="133"/>
      <c r="M66" s="133"/>
      <c r="N66" s="104"/>
      <c r="O66" s="136"/>
      <c r="P66" s="200"/>
      <c r="Q66" s="136"/>
      <c r="R66" s="6"/>
      <c r="S66" s="6"/>
      <c r="T66" s="6"/>
      <c r="U66" s="28"/>
      <c r="V66" s="84">
        <f t="shared" si="17"/>
        <v>0</v>
      </c>
      <c r="W66" s="187">
        <f>M66*$X$29</f>
        <v>0</v>
      </c>
      <c r="X66" s="153">
        <f t="shared" si="14"/>
        <v>0</v>
      </c>
      <c r="Y66" s="153">
        <f t="shared" si="18"/>
        <v>0</v>
      </c>
      <c r="Z66" s="153" t="str">
        <f t="shared" si="15"/>
        <v xml:space="preserve"> </v>
      </c>
      <c r="AA66" s="153"/>
      <c r="AB66" s="158"/>
    </row>
    <row r="67" spans="2:28" x14ac:dyDescent="0.25">
      <c r="B67" s="5" t="s">
        <v>143</v>
      </c>
      <c r="C67" s="226"/>
      <c r="D67" s="227"/>
      <c r="E67" s="227"/>
      <c r="F67" s="228"/>
      <c r="G67" s="106"/>
      <c r="H67" s="226"/>
      <c r="I67" s="228"/>
      <c r="J67" s="22"/>
      <c r="K67" s="104"/>
      <c r="L67" s="133"/>
      <c r="M67" s="133"/>
      <c r="N67" s="104"/>
      <c r="O67" s="136"/>
      <c r="P67" s="200"/>
      <c r="Q67" s="136"/>
      <c r="R67" s="6"/>
      <c r="S67" s="6"/>
      <c r="T67" s="6"/>
      <c r="U67" s="28"/>
      <c r="V67" s="84">
        <f t="shared" si="17"/>
        <v>0</v>
      </c>
      <c r="W67" s="187">
        <f t="shared" si="16"/>
        <v>0</v>
      </c>
      <c r="X67" s="153">
        <f t="shared" si="14"/>
        <v>0</v>
      </c>
      <c r="Y67" s="153">
        <f t="shared" si="18"/>
        <v>0</v>
      </c>
      <c r="Z67" s="153" t="str">
        <f t="shared" si="15"/>
        <v xml:space="preserve"> </v>
      </c>
      <c r="AA67" s="153"/>
      <c r="AB67" s="158"/>
    </row>
    <row r="68" spans="2:28" x14ac:dyDescent="0.25">
      <c r="B68" s="5" t="s">
        <v>144</v>
      </c>
      <c r="C68" s="226"/>
      <c r="D68" s="227"/>
      <c r="E68" s="227"/>
      <c r="F68" s="228"/>
      <c r="G68" s="106"/>
      <c r="H68" s="226"/>
      <c r="I68" s="228"/>
      <c r="J68" s="22"/>
      <c r="K68" s="104"/>
      <c r="L68" s="133"/>
      <c r="M68" s="133"/>
      <c r="N68" s="104"/>
      <c r="O68" s="136"/>
      <c r="P68" s="200"/>
      <c r="Q68" s="136"/>
      <c r="R68" s="6"/>
      <c r="S68" s="6"/>
      <c r="T68" s="6"/>
      <c r="U68" s="28"/>
      <c r="V68" s="84">
        <f t="shared" si="17"/>
        <v>0</v>
      </c>
      <c r="W68" s="187">
        <f t="shared" si="16"/>
        <v>0</v>
      </c>
      <c r="X68" s="153">
        <f t="shared" si="14"/>
        <v>0</v>
      </c>
      <c r="Y68" s="153">
        <f t="shared" si="18"/>
        <v>0</v>
      </c>
      <c r="Z68" s="153" t="str">
        <f t="shared" si="15"/>
        <v xml:space="preserve"> </v>
      </c>
      <c r="AA68" s="153"/>
      <c r="AB68" s="158"/>
    </row>
    <row r="69" spans="2:28" x14ac:dyDescent="0.25">
      <c r="B69" s="5" t="s">
        <v>145</v>
      </c>
      <c r="C69" s="226"/>
      <c r="D69" s="227"/>
      <c r="E69" s="227"/>
      <c r="F69" s="228"/>
      <c r="G69" s="106"/>
      <c r="H69" s="226"/>
      <c r="I69" s="228"/>
      <c r="J69" s="22"/>
      <c r="K69" s="104"/>
      <c r="L69" s="133"/>
      <c r="M69" s="133"/>
      <c r="N69" s="104"/>
      <c r="O69" s="136"/>
      <c r="P69" s="200"/>
      <c r="Q69" s="136"/>
      <c r="R69" s="6"/>
      <c r="S69" s="6"/>
      <c r="T69" s="6"/>
      <c r="U69" s="28"/>
      <c r="V69" s="84">
        <f t="shared" si="17"/>
        <v>0</v>
      </c>
      <c r="W69" s="187">
        <f t="shared" si="16"/>
        <v>0</v>
      </c>
      <c r="X69" s="153">
        <f t="shared" si="14"/>
        <v>0</v>
      </c>
      <c r="Y69" s="153">
        <f t="shared" si="18"/>
        <v>0</v>
      </c>
      <c r="Z69" s="153" t="str">
        <f t="shared" si="15"/>
        <v xml:space="preserve"> </v>
      </c>
      <c r="AA69" s="153"/>
      <c r="AB69" s="158"/>
    </row>
    <row r="70" spans="2:28" x14ac:dyDescent="0.25">
      <c r="B70" s="5" t="s">
        <v>146</v>
      </c>
      <c r="C70" s="226"/>
      <c r="D70" s="227"/>
      <c r="E70" s="227"/>
      <c r="F70" s="228"/>
      <c r="G70" s="106"/>
      <c r="H70" s="226"/>
      <c r="I70" s="228"/>
      <c r="J70" s="22"/>
      <c r="K70" s="104"/>
      <c r="L70" s="133"/>
      <c r="M70" s="133"/>
      <c r="N70" s="104"/>
      <c r="O70" s="136"/>
      <c r="P70" s="200"/>
      <c r="Q70" s="136"/>
      <c r="R70" s="6"/>
      <c r="S70" s="6"/>
      <c r="T70" s="6"/>
      <c r="U70" s="28"/>
      <c r="V70" s="84">
        <f t="shared" si="17"/>
        <v>0</v>
      </c>
      <c r="W70" s="187">
        <f t="shared" si="16"/>
        <v>0</v>
      </c>
      <c r="X70" s="153">
        <f t="shared" si="14"/>
        <v>0</v>
      </c>
      <c r="Y70" s="153">
        <f t="shared" si="18"/>
        <v>0</v>
      </c>
      <c r="Z70" s="153" t="str">
        <f t="shared" si="15"/>
        <v xml:space="preserve"> </v>
      </c>
      <c r="AA70" s="153"/>
      <c r="AB70" s="158"/>
    </row>
    <row r="71" spans="2:28" x14ac:dyDescent="0.25">
      <c r="B71" s="5" t="s">
        <v>147</v>
      </c>
      <c r="C71" s="226"/>
      <c r="D71" s="227"/>
      <c r="E71" s="227"/>
      <c r="F71" s="228"/>
      <c r="G71" s="106"/>
      <c r="H71" s="226"/>
      <c r="I71" s="228"/>
      <c r="J71" s="22"/>
      <c r="K71" s="104"/>
      <c r="L71" s="133"/>
      <c r="M71" s="133"/>
      <c r="N71" s="104"/>
      <c r="O71" s="136"/>
      <c r="P71" s="200"/>
      <c r="Q71" s="136"/>
      <c r="R71" s="6"/>
      <c r="S71" s="6"/>
      <c r="T71" s="6"/>
      <c r="U71" s="28"/>
      <c r="V71" s="84">
        <f t="shared" si="17"/>
        <v>0</v>
      </c>
      <c r="W71" s="187">
        <f t="shared" si="16"/>
        <v>0</v>
      </c>
      <c r="X71" s="153">
        <f t="shared" si="14"/>
        <v>0</v>
      </c>
      <c r="Y71" s="153">
        <f t="shared" si="18"/>
        <v>0</v>
      </c>
      <c r="Z71" s="153" t="str">
        <f t="shared" si="15"/>
        <v xml:space="preserve"> </v>
      </c>
      <c r="AA71" s="153"/>
      <c r="AB71" s="158"/>
    </row>
    <row r="72" spans="2:28" x14ac:dyDescent="0.25">
      <c r="B72" s="5" t="s">
        <v>148</v>
      </c>
      <c r="C72" s="226"/>
      <c r="D72" s="227"/>
      <c r="E72" s="227"/>
      <c r="F72" s="228"/>
      <c r="G72" s="106"/>
      <c r="H72" s="226"/>
      <c r="I72" s="228"/>
      <c r="J72" s="22"/>
      <c r="K72" s="104"/>
      <c r="L72" s="133"/>
      <c r="M72" s="133"/>
      <c r="N72" s="104"/>
      <c r="O72" s="136"/>
      <c r="P72" s="200"/>
      <c r="Q72" s="136"/>
      <c r="R72" s="6"/>
      <c r="S72" s="6"/>
      <c r="T72" s="6"/>
      <c r="U72" s="28"/>
      <c r="V72" s="84">
        <f t="shared" si="17"/>
        <v>0</v>
      </c>
      <c r="W72" s="187">
        <f t="shared" si="16"/>
        <v>0</v>
      </c>
      <c r="X72" s="153">
        <f t="shared" si="14"/>
        <v>0</v>
      </c>
      <c r="Y72" s="153">
        <f t="shared" si="18"/>
        <v>0</v>
      </c>
      <c r="Z72" s="153" t="str">
        <f t="shared" si="15"/>
        <v xml:space="preserve"> </v>
      </c>
      <c r="AA72" s="153"/>
      <c r="AB72" s="158"/>
    </row>
    <row r="73" spans="2:28" x14ac:dyDescent="0.25">
      <c r="B73" s="5" t="s">
        <v>149</v>
      </c>
      <c r="C73" s="226"/>
      <c r="D73" s="227"/>
      <c r="E73" s="227"/>
      <c r="F73" s="228"/>
      <c r="G73" s="106"/>
      <c r="H73" s="226"/>
      <c r="I73" s="228"/>
      <c r="J73" s="22"/>
      <c r="K73" s="104"/>
      <c r="L73" s="133"/>
      <c r="M73" s="133"/>
      <c r="N73" s="104"/>
      <c r="O73" s="136"/>
      <c r="P73" s="200"/>
      <c r="Q73" s="136"/>
      <c r="R73" s="6"/>
      <c r="S73" s="6"/>
      <c r="T73" s="6"/>
      <c r="U73" s="28"/>
      <c r="V73" s="84">
        <f t="shared" si="17"/>
        <v>0</v>
      </c>
      <c r="W73" s="187">
        <f t="shared" si="16"/>
        <v>0</v>
      </c>
      <c r="X73" s="153">
        <f t="shared" si="14"/>
        <v>0</v>
      </c>
      <c r="Y73" s="153">
        <f t="shared" si="18"/>
        <v>0</v>
      </c>
      <c r="Z73" s="153" t="str">
        <f t="shared" si="15"/>
        <v xml:space="preserve"> </v>
      </c>
      <c r="AA73" s="153"/>
      <c r="AB73" s="158"/>
    </row>
    <row r="74" spans="2:28" s="8" customFormat="1" x14ac:dyDescent="0.25">
      <c r="B74" s="7" t="s">
        <v>115</v>
      </c>
      <c r="C74" s="235"/>
      <c r="D74" s="245"/>
      <c r="E74" s="245"/>
      <c r="F74" s="236"/>
      <c r="G74" s="107"/>
      <c r="H74" s="235"/>
      <c r="I74" s="236"/>
      <c r="J74" s="25"/>
      <c r="K74" s="105"/>
      <c r="L74" s="134">
        <f>SUM(L64:L73)</f>
        <v>69.2</v>
      </c>
      <c r="M74" s="134">
        <f>SUM(M64:M73)</f>
        <v>81000</v>
      </c>
      <c r="N74" s="25"/>
      <c r="O74" s="82">
        <f>SUM(O64:O73)</f>
        <v>221260</v>
      </c>
      <c r="P74" s="82">
        <f>SUM(P64:P73)</f>
        <v>0</v>
      </c>
      <c r="Q74" s="82">
        <f>SUM(Q64:Q73)</f>
        <v>42520</v>
      </c>
      <c r="R74" s="82">
        <f>SUM(R64:R73)</f>
        <v>59740.2</v>
      </c>
      <c r="S74" s="82">
        <f>SUM(S64:S73)</f>
        <v>0</v>
      </c>
      <c r="T74" s="82"/>
      <c r="U74" s="137"/>
      <c r="V74" s="82">
        <f>SUM(V64:V73)</f>
        <v>118999.8</v>
      </c>
      <c r="W74" s="86">
        <f>SUM(W64:W73)</f>
        <v>276372</v>
      </c>
      <c r="X74" s="13">
        <f>SUM(X64:X73)</f>
        <v>118999.8</v>
      </c>
      <c r="Y74" s="82">
        <f>SUM(Y64:Y73)</f>
        <v>14730.660000000002</v>
      </c>
      <c r="Z74" s="30"/>
      <c r="AA74" s="30"/>
      <c r="AB74" s="115"/>
    </row>
    <row r="75" spans="2:28" s="8" customFormat="1" x14ac:dyDescent="0.25">
      <c r="G75" s="108"/>
      <c r="W75" s="9"/>
      <c r="Z75" s="4"/>
    </row>
    <row r="76" spans="2:28" s="2" customFormat="1" ht="18.75" x14ac:dyDescent="0.3">
      <c r="B76" s="141" t="s">
        <v>150</v>
      </c>
      <c r="F76" s="1"/>
      <c r="G76" s="92"/>
    </row>
    <row r="77" spans="2:28" s="2" customFormat="1" ht="40.5" customHeight="1" x14ac:dyDescent="0.3">
      <c r="B77" s="263" t="s">
        <v>76</v>
      </c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5"/>
      <c r="T77" s="28"/>
      <c r="U77" s="255" t="s">
        <v>7</v>
      </c>
      <c r="V77" s="256"/>
      <c r="W77" s="256"/>
      <c r="X77" s="159"/>
      <c r="Y77" s="189"/>
      <c r="Z77" s="189"/>
    </row>
    <row r="78" spans="2:28" s="21" customFormat="1" ht="81.75" customHeight="1" x14ac:dyDescent="0.25">
      <c r="B78" s="250" t="s">
        <v>117</v>
      </c>
      <c r="C78" s="251"/>
      <c r="D78" s="251"/>
      <c r="E78" s="251"/>
      <c r="F78" s="251"/>
      <c r="G78" s="251"/>
      <c r="H78" s="251"/>
      <c r="I78" s="251"/>
      <c r="J78" s="252"/>
      <c r="K78" s="253" t="s">
        <v>78</v>
      </c>
      <c r="L78" s="254"/>
      <c r="M78" s="246" t="s">
        <v>79</v>
      </c>
      <c r="N78" s="248"/>
      <c r="O78" s="250" t="s">
        <v>80</v>
      </c>
      <c r="P78" s="251"/>
      <c r="Q78" s="251"/>
      <c r="R78" s="251"/>
      <c r="S78" s="252"/>
      <c r="T78" s="26"/>
      <c r="U78" s="188" t="s">
        <v>81</v>
      </c>
      <c r="V78" s="188"/>
      <c r="W78" s="188"/>
      <c r="X78" s="160"/>
      <c r="Y78" s="190"/>
      <c r="Z78" s="190"/>
    </row>
    <row r="79" spans="2:28" ht="75" x14ac:dyDescent="0.25">
      <c r="B79" s="3" t="s">
        <v>119</v>
      </c>
      <c r="C79" s="229" t="s">
        <v>151</v>
      </c>
      <c r="D79" s="230"/>
      <c r="E79" s="230"/>
      <c r="F79" s="231"/>
      <c r="G79" s="3" t="s">
        <v>84</v>
      </c>
      <c r="H79" s="3" t="s">
        <v>85</v>
      </c>
      <c r="I79" s="3" t="s">
        <v>152</v>
      </c>
      <c r="J79" s="3" t="s">
        <v>153</v>
      </c>
      <c r="K79" s="229" t="s">
        <v>86</v>
      </c>
      <c r="L79" s="231"/>
      <c r="M79" s="3" t="s">
        <v>87</v>
      </c>
      <c r="N79" s="3" t="s">
        <v>91</v>
      </c>
      <c r="O79" s="3" t="s">
        <v>128</v>
      </c>
      <c r="P79" s="3" t="s">
        <v>154</v>
      </c>
      <c r="Q79" s="3" t="s">
        <v>93</v>
      </c>
      <c r="R79" s="3" t="s">
        <v>94</v>
      </c>
      <c r="S79" s="3" t="s">
        <v>95</v>
      </c>
      <c r="T79" s="27"/>
      <c r="U79" s="42" t="s">
        <v>96</v>
      </c>
      <c r="V79" s="42" t="s">
        <v>97</v>
      </c>
      <c r="W79" s="42" t="s">
        <v>98</v>
      </c>
      <c r="X79" s="157"/>
      <c r="Y79" s="191"/>
      <c r="Z79" s="191"/>
    </row>
    <row r="80" spans="2:28" s="116" customFormat="1" ht="30" x14ac:dyDescent="0.25">
      <c r="B80" s="117" t="s">
        <v>56</v>
      </c>
      <c r="C80" s="232" t="s">
        <v>57</v>
      </c>
      <c r="D80" s="233"/>
      <c r="E80" s="233"/>
      <c r="F80" s="234"/>
      <c r="G80" s="119" t="s">
        <v>136</v>
      </c>
      <c r="H80" s="118">
        <v>10</v>
      </c>
      <c r="I80" s="118">
        <v>2</v>
      </c>
      <c r="J80" s="118" t="s">
        <v>155</v>
      </c>
      <c r="K80" s="232" t="s">
        <v>57</v>
      </c>
      <c r="L80" s="234"/>
      <c r="M80" s="118">
        <v>100</v>
      </c>
      <c r="N80" s="118">
        <v>0</v>
      </c>
      <c r="O80" s="121">
        <v>20000</v>
      </c>
      <c r="P80" s="119" t="s">
        <v>156</v>
      </c>
      <c r="Q80" s="121">
        <v>15000</v>
      </c>
      <c r="R80" s="121">
        <v>0</v>
      </c>
      <c r="S80" s="121">
        <v>100</v>
      </c>
      <c r="T80" s="122"/>
      <c r="U80" s="131">
        <f>M80*$X$29</f>
        <v>341.2</v>
      </c>
      <c r="V80" s="124">
        <f t="shared" ref="V80:V90" si="19">IFERROR(M80/VLOOKUP(K80,$C$28:$H$40,2,FALSE),"")</f>
        <v>10</v>
      </c>
      <c r="W80" s="130">
        <f>IF(G80="Proposed",O80-Q80-R80,0)</f>
        <v>5000</v>
      </c>
      <c r="X80" s="158"/>
      <c r="Y80" s="192"/>
      <c r="Z80" s="193"/>
    </row>
    <row r="81" spans="2:26" x14ac:dyDescent="0.25">
      <c r="B81" s="5" t="s">
        <v>140</v>
      </c>
      <c r="C81" s="226"/>
      <c r="D81" s="227"/>
      <c r="E81" s="227"/>
      <c r="F81" s="228"/>
      <c r="G81" s="109"/>
      <c r="H81" s="22"/>
      <c r="I81" s="22"/>
      <c r="J81" s="22"/>
      <c r="K81" s="226"/>
      <c r="L81" s="228"/>
      <c r="M81" s="22"/>
      <c r="N81" s="22"/>
      <c r="O81" s="23"/>
      <c r="P81" s="104"/>
      <c r="Q81" s="23"/>
      <c r="R81" s="23"/>
      <c r="S81" s="23"/>
      <c r="T81" s="28"/>
      <c r="U81" s="44">
        <f t="shared" ref="U81:U90" si="20">M81*$X$29</f>
        <v>0</v>
      </c>
      <c r="V81" s="45" t="str">
        <f t="shared" si="19"/>
        <v/>
      </c>
      <c r="W81" s="153">
        <f t="shared" ref="W81:W90" si="21">IF(G81="Proposed",O81-Q81-R81,0)</f>
        <v>0</v>
      </c>
      <c r="X81" s="158"/>
      <c r="Y81" s="194"/>
      <c r="Z81" s="195"/>
    </row>
    <row r="82" spans="2:26" x14ac:dyDescent="0.25">
      <c r="B82" s="5" t="s">
        <v>141</v>
      </c>
      <c r="C82" s="226"/>
      <c r="D82" s="227"/>
      <c r="E82" s="227"/>
      <c r="F82" s="228"/>
      <c r="G82" s="109"/>
      <c r="H82" s="22"/>
      <c r="I82" s="22"/>
      <c r="J82" s="22"/>
      <c r="K82" s="226"/>
      <c r="L82" s="228"/>
      <c r="M82" s="22"/>
      <c r="N82" s="22"/>
      <c r="O82" s="23"/>
      <c r="P82" s="104"/>
      <c r="Q82" s="23"/>
      <c r="R82" s="23"/>
      <c r="S82" s="23"/>
      <c r="T82" s="28"/>
      <c r="U82" s="44">
        <f t="shared" si="20"/>
        <v>0</v>
      </c>
      <c r="V82" s="45" t="str">
        <f t="shared" si="19"/>
        <v/>
      </c>
      <c r="W82" s="153">
        <f t="shared" si="21"/>
        <v>0</v>
      </c>
      <c r="X82" s="158"/>
      <c r="Y82" s="194"/>
      <c r="Z82" s="195"/>
    </row>
    <row r="83" spans="2:26" x14ac:dyDescent="0.25">
      <c r="B83" s="5" t="s">
        <v>142</v>
      </c>
      <c r="C83" s="226"/>
      <c r="D83" s="227"/>
      <c r="E83" s="227"/>
      <c r="F83" s="228"/>
      <c r="G83" s="109"/>
      <c r="H83" s="22"/>
      <c r="I83" s="22"/>
      <c r="J83" s="22"/>
      <c r="K83" s="226"/>
      <c r="L83" s="228"/>
      <c r="M83" s="22"/>
      <c r="N83" s="22"/>
      <c r="O83" s="23"/>
      <c r="P83" s="104"/>
      <c r="Q83" s="23"/>
      <c r="R83" s="23"/>
      <c r="S83" s="23"/>
      <c r="T83" s="28"/>
      <c r="U83" s="44">
        <f t="shared" si="20"/>
        <v>0</v>
      </c>
      <c r="V83" s="45" t="str">
        <f t="shared" si="19"/>
        <v/>
      </c>
      <c r="W83" s="153">
        <f t="shared" si="21"/>
        <v>0</v>
      </c>
      <c r="X83" s="158"/>
      <c r="Y83" s="194"/>
      <c r="Z83" s="195"/>
    </row>
    <row r="84" spans="2:26" x14ac:dyDescent="0.25">
      <c r="B84" s="5" t="s">
        <v>143</v>
      </c>
      <c r="C84" s="226"/>
      <c r="D84" s="227"/>
      <c r="E84" s="227"/>
      <c r="F84" s="228"/>
      <c r="G84" s="109"/>
      <c r="H84" s="22"/>
      <c r="I84" s="22"/>
      <c r="J84" s="22"/>
      <c r="K84" s="226"/>
      <c r="L84" s="228"/>
      <c r="M84" s="22"/>
      <c r="N84" s="22"/>
      <c r="O84" s="23"/>
      <c r="P84" s="104"/>
      <c r="Q84" s="23"/>
      <c r="R84" s="23"/>
      <c r="S84" s="23"/>
      <c r="T84" s="28"/>
      <c r="U84" s="44">
        <f t="shared" si="20"/>
        <v>0</v>
      </c>
      <c r="V84" s="45" t="str">
        <f t="shared" si="19"/>
        <v/>
      </c>
      <c r="W84" s="153">
        <f t="shared" si="21"/>
        <v>0</v>
      </c>
      <c r="X84" s="158"/>
      <c r="Y84" s="194"/>
      <c r="Z84" s="195"/>
    </row>
    <row r="85" spans="2:26" x14ac:dyDescent="0.25">
      <c r="B85" s="5" t="s">
        <v>144</v>
      </c>
      <c r="C85" s="226"/>
      <c r="D85" s="227"/>
      <c r="E85" s="227"/>
      <c r="F85" s="228"/>
      <c r="G85" s="109"/>
      <c r="H85" s="22"/>
      <c r="I85" s="22"/>
      <c r="J85" s="22"/>
      <c r="K85" s="226"/>
      <c r="L85" s="228"/>
      <c r="M85" s="22"/>
      <c r="N85" s="22"/>
      <c r="O85" s="23"/>
      <c r="P85" s="104"/>
      <c r="Q85" s="23"/>
      <c r="R85" s="23"/>
      <c r="S85" s="23"/>
      <c r="T85" s="28"/>
      <c r="U85" s="44">
        <f t="shared" si="20"/>
        <v>0</v>
      </c>
      <c r="V85" s="45" t="str">
        <f t="shared" si="19"/>
        <v/>
      </c>
      <c r="W85" s="153">
        <f t="shared" si="21"/>
        <v>0</v>
      </c>
      <c r="X85" s="158"/>
      <c r="Y85" s="194"/>
      <c r="Z85" s="195"/>
    </row>
    <row r="86" spans="2:26" x14ac:dyDescent="0.25">
      <c r="B86" s="5" t="s">
        <v>145</v>
      </c>
      <c r="C86" s="226"/>
      <c r="D86" s="227"/>
      <c r="E86" s="227"/>
      <c r="F86" s="228"/>
      <c r="G86" s="109"/>
      <c r="H86" s="22"/>
      <c r="I86" s="22"/>
      <c r="J86" s="22"/>
      <c r="K86" s="226"/>
      <c r="L86" s="228"/>
      <c r="M86" s="22"/>
      <c r="N86" s="22"/>
      <c r="O86" s="23"/>
      <c r="P86" s="104"/>
      <c r="Q86" s="23"/>
      <c r="R86" s="23"/>
      <c r="S86" s="23"/>
      <c r="T86" s="28"/>
      <c r="U86" s="44">
        <f t="shared" si="20"/>
        <v>0</v>
      </c>
      <c r="V86" s="45" t="str">
        <f t="shared" si="19"/>
        <v/>
      </c>
      <c r="W86" s="153">
        <f t="shared" si="21"/>
        <v>0</v>
      </c>
      <c r="X86" s="158"/>
      <c r="Y86" s="194"/>
      <c r="Z86" s="195"/>
    </row>
    <row r="87" spans="2:26" x14ac:dyDescent="0.25">
      <c r="B87" s="5" t="s">
        <v>146</v>
      </c>
      <c r="C87" s="226"/>
      <c r="D87" s="227"/>
      <c r="E87" s="227"/>
      <c r="F87" s="228"/>
      <c r="G87" s="109"/>
      <c r="H87" s="22"/>
      <c r="I87" s="22"/>
      <c r="J87" s="22"/>
      <c r="K87" s="226"/>
      <c r="L87" s="228"/>
      <c r="M87" s="22"/>
      <c r="N87" s="22"/>
      <c r="O87" s="23"/>
      <c r="P87" s="104"/>
      <c r="Q87" s="23"/>
      <c r="R87" s="23"/>
      <c r="S87" s="23"/>
      <c r="T87" s="28"/>
      <c r="U87" s="44">
        <f t="shared" ref="U87" si="22">M87*$X$29</f>
        <v>0</v>
      </c>
      <c r="V87" s="45" t="str">
        <f t="shared" si="19"/>
        <v/>
      </c>
      <c r="W87" s="153">
        <f t="shared" si="21"/>
        <v>0</v>
      </c>
      <c r="X87" s="158"/>
      <c r="Y87" s="194"/>
      <c r="Z87" s="195"/>
    </row>
    <row r="88" spans="2:26" x14ac:dyDescent="0.25">
      <c r="B88" s="5" t="s">
        <v>147</v>
      </c>
      <c r="C88" s="226"/>
      <c r="D88" s="227"/>
      <c r="E88" s="227"/>
      <c r="F88" s="228"/>
      <c r="G88" s="109"/>
      <c r="H88" s="22"/>
      <c r="I88" s="22"/>
      <c r="J88" s="22"/>
      <c r="K88" s="226"/>
      <c r="L88" s="228"/>
      <c r="M88" s="22"/>
      <c r="N88" s="22"/>
      <c r="O88" s="23"/>
      <c r="P88" s="104"/>
      <c r="Q88" s="23"/>
      <c r="R88" s="23"/>
      <c r="S88" s="23"/>
      <c r="T88" s="28"/>
      <c r="U88" s="44">
        <f t="shared" si="20"/>
        <v>0</v>
      </c>
      <c r="V88" s="45" t="str">
        <f t="shared" si="19"/>
        <v/>
      </c>
      <c r="W88" s="153">
        <f t="shared" si="21"/>
        <v>0</v>
      </c>
      <c r="X88" s="158"/>
      <c r="Y88" s="194"/>
      <c r="Z88" s="195"/>
    </row>
    <row r="89" spans="2:26" x14ac:dyDescent="0.25">
      <c r="B89" s="5" t="s">
        <v>148</v>
      </c>
      <c r="C89" s="226"/>
      <c r="D89" s="227"/>
      <c r="E89" s="227"/>
      <c r="F89" s="228"/>
      <c r="G89" s="109"/>
      <c r="H89" s="22"/>
      <c r="I89" s="22"/>
      <c r="J89" s="22"/>
      <c r="K89" s="226"/>
      <c r="L89" s="228"/>
      <c r="M89" s="22"/>
      <c r="N89" s="22"/>
      <c r="O89" s="23"/>
      <c r="P89" s="104"/>
      <c r="Q89" s="23"/>
      <c r="R89" s="23"/>
      <c r="S89" s="23"/>
      <c r="T89" s="28"/>
      <c r="U89" s="44">
        <f t="shared" si="20"/>
        <v>0</v>
      </c>
      <c r="V89" s="45" t="str">
        <f t="shared" si="19"/>
        <v/>
      </c>
      <c r="W89" s="153">
        <f t="shared" si="21"/>
        <v>0</v>
      </c>
      <c r="X89" s="158"/>
      <c r="Y89" s="194"/>
      <c r="Z89" s="195"/>
    </row>
    <row r="90" spans="2:26" x14ac:dyDescent="0.25">
      <c r="B90" s="5" t="s">
        <v>149</v>
      </c>
      <c r="C90" s="226"/>
      <c r="D90" s="227"/>
      <c r="E90" s="227"/>
      <c r="F90" s="228"/>
      <c r="G90" s="109"/>
      <c r="H90" s="22"/>
      <c r="I90" s="22"/>
      <c r="J90" s="22"/>
      <c r="K90" s="226"/>
      <c r="L90" s="228"/>
      <c r="M90" s="22"/>
      <c r="N90" s="22"/>
      <c r="O90" s="23"/>
      <c r="P90" s="104"/>
      <c r="Q90" s="23"/>
      <c r="R90" s="23"/>
      <c r="S90" s="23"/>
      <c r="T90" s="28"/>
      <c r="U90" s="44">
        <f t="shared" si="20"/>
        <v>0</v>
      </c>
      <c r="V90" s="45" t="str">
        <f t="shared" si="19"/>
        <v/>
      </c>
      <c r="W90" s="153">
        <f t="shared" si="21"/>
        <v>0</v>
      </c>
      <c r="X90" s="158"/>
      <c r="Y90" s="194"/>
      <c r="Z90" s="195"/>
    </row>
    <row r="91" spans="2:26" s="8" customFormat="1" x14ac:dyDescent="0.25">
      <c r="B91" s="7" t="s">
        <v>115</v>
      </c>
      <c r="C91" s="235"/>
      <c r="D91" s="245"/>
      <c r="E91" s="245"/>
      <c r="F91" s="236"/>
      <c r="G91" s="27"/>
      <c r="H91" s="25"/>
      <c r="I91" s="25"/>
      <c r="J91" s="25"/>
      <c r="K91" s="235"/>
      <c r="L91" s="236"/>
      <c r="M91" s="24">
        <f>SUM(M81:M90)</f>
        <v>0</v>
      </c>
      <c r="N91" s="24">
        <f>SUM(N81:N90)</f>
        <v>0</v>
      </c>
      <c r="O91" s="79">
        <f>SUM(O81:O90)</f>
        <v>0</v>
      </c>
      <c r="P91" s="25"/>
      <c r="Q91" s="79">
        <f>SUM(Q81:Q90)</f>
        <v>0</v>
      </c>
      <c r="R91" s="79">
        <f>SUM(R81:R90)</f>
        <v>0</v>
      </c>
      <c r="S91" s="79">
        <f>SUM(S81:S90)</f>
        <v>0</v>
      </c>
      <c r="T91" s="29"/>
      <c r="U91" s="12">
        <f>SUM(U81:U90)</f>
        <v>0</v>
      </c>
      <c r="V91" s="88"/>
      <c r="W91" s="13">
        <f>SUM(W81:W90)</f>
        <v>0</v>
      </c>
      <c r="X91" s="115"/>
      <c r="Y91" s="35"/>
      <c r="Z91" s="35"/>
    </row>
    <row r="92" spans="2:26" s="36" customFormat="1" x14ac:dyDescent="0.25">
      <c r="B92" s="31"/>
      <c r="C92" s="32"/>
      <c r="D92" s="32"/>
      <c r="E92" s="32"/>
      <c r="F92" s="31"/>
      <c r="G92" s="110"/>
      <c r="H92" s="32"/>
      <c r="I92" s="32"/>
      <c r="J92" s="32"/>
      <c r="K92" s="3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5"/>
      <c r="X92" s="35"/>
      <c r="Y92" s="35"/>
      <c r="Z92" s="35"/>
    </row>
    <row r="93" spans="2:26" s="36" customFormat="1" x14ac:dyDescent="0.25">
      <c r="B93" s="31"/>
      <c r="C93" s="32"/>
      <c r="D93" s="32"/>
      <c r="E93" s="32"/>
      <c r="F93" s="31"/>
      <c r="G93" s="110"/>
      <c r="H93" s="32"/>
      <c r="I93" s="32"/>
      <c r="J93" s="32"/>
      <c r="K93" s="3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5"/>
      <c r="X93" s="35"/>
      <c r="Y93" s="35"/>
      <c r="Z93" s="35"/>
    </row>
    <row r="94" spans="2:26" s="2" customFormat="1" ht="18.75" x14ac:dyDescent="0.3">
      <c r="B94" s="141" t="s">
        <v>157</v>
      </c>
      <c r="F94" s="1"/>
      <c r="G94" s="92"/>
    </row>
    <row r="95" spans="2:26" s="2" customFormat="1" ht="40.5" customHeight="1" x14ac:dyDescent="0.3">
      <c r="B95" s="263" t="s">
        <v>76</v>
      </c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5"/>
      <c r="T95" s="28"/>
      <c r="U95" s="255" t="s">
        <v>7</v>
      </c>
      <c r="V95" s="256"/>
      <c r="W95" s="256"/>
      <c r="X95" s="159"/>
    </row>
    <row r="96" spans="2:26" s="21" customFormat="1" ht="30" customHeight="1" x14ac:dyDescent="0.25">
      <c r="B96" s="250" t="s">
        <v>117</v>
      </c>
      <c r="C96" s="251"/>
      <c r="D96" s="251"/>
      <c r="E96" s="251"/>
      <c r="F96" s="251"/>
      <c r="G96" s="252"/>
      <c r="H96" s="253" t="s">
        <v>78</v>
      </c>
      <c r="I96" s="254"/>
      <c r="J96" s="246" t="s">
        <v>118</v>
      </c>
      <c r="K96" s="247"/>
      <c r="L96" s="247"/>
      <c r="M96" s="247"/>
      <c r="N96" s="248"/>
      <c r="O96" s="250" t="s">
        <v>80</v>
      </c>
      <c r="P96" s="251"/>
      <c r="Q96" s="251"/>
      <c r="R96" s="251"/>
      <c r="S96" s="252"/>
      <c r="T96" s="26"/>
      <c r="U96" s="257" t="s">
        <v>81</v>
      </c>
      <c r="V96" s="257"/>
      <c r="W96" s="257"/>
      <c r="X96" s="160"/>
    </row>
    <row r="97" spans="2:24" ht="60" x14ac:dyDescent="0.25">
      <c r="B97" s="3" t="s">
        <v>119</v>
      </c>
      <c r="C97" s="229" t="s">
        <v>158</v>
      </c>
      <c r="D97" s="230"/>
      <c r="E97" s="231"/>
      <c r="F97" s="3" t="s">
        <v>121</v>
      </c>
      <c r="G97" s="3" t="s">
        <v>85</v>
      </c>
      <c r="H97" s="229" t="s">
        <v>86</v>
      </c>
      <c r="I97" s="231"/>
      <c r="J97" s="3" t="s">
        <v>159</v>
      </c>
      <c r="K97" s="272" t="s">
        <v>208</v>
      </c>
      <c r="L97" s="3" t="s">
        <v>219</v>
      </c>
      <c r="M97" s="3" t="s">
        <v>160</v>
      </c>
      <c r="N97" s="3" t="s">
        <v>161</v>
      </c>
      <c r="O97" s="3" t="s">
        <v>162</v>
      </c>
      <c r="P97" s="3" t="s">
        <v>163</v>
      </c>
      <c r="Q97" s="3" t="s">
        <v>130</v>
      </c>
      <c r="R97" s="3" t="s">
        <v>94</v>
      </c>
      <c r="S97" s="272" t="s">
        <v>210</v>
      </c>
      <c r="T97" s="27"/>
      <c r="U97" s="42" t="s">
        <v>98</v>
      </c>
      <c r="V97" s="42" t="s">
        <v>211</v>
      </c>
      <c r="W97" s="43" t="s">
        <v>101</v>
      </c>
      <c r="X97" s="157" t="s">
        <v>102</v>
      </c>
    </row>
    <row r="98" spans="2:24" s="116" customFormat="1" x14ac:dyDescent="0.25">
      <c r="B98" s="117" t="s">
        <v>56</v>
      </c>
      <c r="C98" s="232" t="s">
        <v>164</v>
      </c>
      <c r="D98" s="233"/>
      <c r="E98" s="234"/>
      <c r="F98" s="119" t="s">
        <v>136</v>
      </c>
      <c r="G98" s="273">
        <v>15</v>
      </c>
      <c r="H98" s="232" t="s">
        <v>57</v>
      </c>
      <c r="I98" s="234"/>
      <c r="J98" s="118" t="s">
        <v>165</v>
      </c>
      <c r="K98" s="118" t="s">
        <v>209</v>
      </c>
      <c r="L98" s="118">
        <v>100</v>
      </c>
      <c r="M98" s="118">
        <v>24</v>
      </c>
      <c r="N98" s="118" t="s">
        <v>165</v>
      </c>
      <c r="O98" s="121">
        <v>100000</v>
      </c>
      <c r="P98" s="121">
        <v>150000</v>
      </c>
      <c r="Q98" s="121">
        <v>20000</v>
      </c>
      <c r="R98" s="121">
        <v>0</v>
      </c>
      <c r="S98" s="121">
        <v>5000</v>
      </c>
      <c r="T98" s="122"/>
      <c r="U98" s="130">
        <f>IF(F98="Proposed",O98-Q98-R98,0)</f>
        <v>80000</v>
      </c>
      <c r="V98" s="130">
        <f>S98</f>
        <v>5000</v>
      </c>
      <c r="W98" s="130">
        <f>V98*G98</f>
        <v>75000</v>
      </c>
      <c r="X98" s="158">
        <f t="shared" ref="X98:X108" si="23">-IFERROR(G98*VLOOKUP(E98,$C$28:$T$40,4,FALSE)*0.5*D98*(2+VLOOKUP(E98,$C$28:$T$40,5)*(D98-1))+H98*VLOOKUP(E98,$C$28:$T$40,7,FALSE)*0.5*D98*(2+VLOOKUP(E98,$C$28:$T$40,8)*(D98-1))+I98*VLOOKUP(E98,$C$28:$T$40,10,FALSE)*0.5*D98*(2+VLOOKUP(E98,$C$28:$T$40,11)*(D98-1))+J98*VLOOKUP(E98,$C$28:$T$40,13,FALSE)*0.5*D98*(2+VLOOKUP(E98,$C$28:$T$40,14)*(D98-1)),0)</f>
        <v>0</v>
      </c>
    </row>
    <row r="99" spans="2:24" x14ac:dyDescent="0.25">
      <c r="B99" s="5" t="s">
        <v>140</v>
      </c>
      <c r="C99" s="226"/>
      <c r="D99" s="227"/>
      <c r="E99" s="228"/>
      <c r="F99" s="109"/>
      <c r="G99" s="104"/>
      <c r="H99" s="226"/>
      <c r="I99" s="228"/>
      <c r="J99" s="22"/>
      <c r="K99" s="22"/>
      <c r="L99" s="22"/>
      <c r="M99" s="22"/>
      <c r="N99" s="22"/>
      <c r="O99" s="23"/>
      <c r="P99" s="23"/>
      <c r="Q99" s="23"/>
      <c r="R99" s="23"/>
      <c r="S99" s="23"/>
      <c r="T99" s="28"/>
      <c r="U99" s="153">
        <f t="shared" ref="U99:U108" si="24">IF(F99="Proposed",O99-Q99-R99,0)</f>
        <v>0</v>
      </c>
      <c r="V99" s="153">
        <f>S99</f>
        <v>0</v>
      </c>
      <c r="W99" s="130">
        <f t="shared" ref="W99:W108" si="25">V99*G99</f>
        <v>0</v>
      </c>
      <c r="X99" s="158">
        <f>-IFERROR(G99*VLOOKUP(E99,$C$28:$T$40,4,FALSE)*0.5*D99*(2+VLOOKUP(E99,$C$28:$T$40,5)*(D99-1))+H99*VLOOKUP(E99,$C$28:$T$40,7,FALSE)*0.5*D99*(2+VLOOKUP(E99,$C$28:$T$40,8)*(D99-1))+I99*VLOOKUP(E99,$C$28:$T$40,10,FALSE)*0.5*D99*(2+VLOOKUP(E99,$C$28:$T$40,11)*(D99-1))+J99*VLOOKUP(E99,$C$28:$T$40,13,FALSE)*0.5*D99*(2+VLOOKUP(E99,$C$28:$T$40,14)*(D99-1)),0)</f>
        <v>0</v>
      </c>
    </row>
    <row r="100" spans="2:24" x14ac:dyDescent="0.25">
      <c r="B100" s="5" t="s">
        <v>141</v>
      </c>
      <c r="C100" s="226"/>
      <c r="D100" s="227"/>
      <c r="E100" s="228"/>
      <c r="F100" s="109"/>
      <c r="G100" s="104"/>
      <c r="H100" s="226"/>
      <c r="I100" s="228"/>
      <c r="J100" s="22"/>
      <c r="K100" s="22"/>
      <c r="L100" s="22"/>
      <c r="M100" s="22"/>
      <c r="N100" s="22"/>
      <c r="O100" s="23"/>
      <c r="P100" s="23"/>
      <c r="Q100" s="23"/>
      <c r="R100" s="23"/>
      <c r="S100" s="23"/>
      <c r="T100" s="28"/>
      <c r="U100" s="153">
        <f t="shared" si="24"/>
        <v>0</v>
      </c>
      <c r="V100" s="153">
        <f t="shared" ref="V100:V108" si="26">S100</f>
        <v>0</v>
      </c>
      <c r="W100" s="130">
        <f t="shared" si="25"/>
        <v>0</v>
      </c>
      <c r="X100" s="158">
        <f t="shared" si="23"/>
        <v>0</v>
      </c>
    </row>
    <row r="101" spans="2:24" x14ac:dyDescent="0.25">
      <c r="B101" s="5" t="s">
        <v>142</v>
      </c>
      <c r="C101" s="226"/>
      <c r="D101" s="227"/>
      <c r="E101" s="228"/>
      <c r="F101" s="109"/>
      <c r="G101" s="104"/>
      <c r="H101" s="226"/>
      <c r="I101" s="228"/>
      <c r="J101" s="22"/>
      <c r="K101" s="22"/>
      <c r="L101" s="22"/>
      <c r="M101" s="22"/>
      <c r="N101" s="22"/>
      <c r="O101" s="23"/>
      <c r="P101" s="23"/>
      <c r="Q101" s="23"/>
      <c r="R101" s="23"/>
      <c r="S101" s="23"/>
      <c r="T101" s="28"/>
      <c r="U101" s="153">
        <f t="shared" si="24"/>
        <v>0</v>
      </c>
      <c r="V101" s="153">
        <f t="shared" si="26"/>
        <v>0</v>
      </c>
      <c r="W101" s="130">
        <f t="shared" si="25"/>
        <v>0</v>
      </c>
      <c r="X101" s="158">
        <f t="shared" si="23"/>
        <v>0</v>
      </c>
    </row>
    <row r="102" spans="2:24" x14ac:dyDescent="0.25">
      <c r="B102" s="5" t="s">
        <v>143</v>
      </c>
      <c r="C102" s="226"/>
      <c r="D102" s="227"/>
      <c r="E102" s="228"/>
      <c r="F102" s="109"/>
      <c r="G102" s="104"/>
      <c r="H102" s="226"/>
      <c r="I102" s="228"/>
      <c r="J102" s="22"/>
      <c r="K102" s="22"/>
      <c r="L102" s="22"/>
      <c r="M102" s="22"/>
      <c r="N102" s="22"/>
      <c r="O102" s="23"/>
      <c r="P102" s="23"/>
      <c r="Q102" s="23"/>
      <c r="R102" s="23"/>
      <c r="S102" s="23"/>
      <c r="T102" s="28"/>
      <c r="U102" s="153">
        <f t="shared" si="24"/>
        <v>0</v>
      </c>
      <c r="V102" s="153">
        <f t="shared" si="26"/>
        <v>0</v>
      </c>
      <c r="W102" s="130">
        <f t="shared" si="25"/>
        <v>0</v>
      </c>
      <c r="X102" s="158">
        <f t="shared" si="23"/>
        <v>0</v>
      </c>
    </row>
    <row r="103" spans="2:24" x14ac:dyDescent="0.25">
      <c r="B103" s="5" t="s">
        <v>144</v>
      </c>
      <c r="C103" s="226"/>
      <c r="D103" s="227"/>
      <c r="E103" s="228"/>
      <c r="F103" s="109"/>
      <c r="G103" s="104"/>
      <c r="H103" s="226"/>
      <c r="I103" s="228"/>
      <c r="J103" s="22"/>
      <c r="K103" s="22"/>
      <c r="L103" s="22"/>
      <c r="M103" s="22"/>
      <c r="N103" s="22"/>
      <c r="O103" s="23"/>
      <c r="P103" s="23"/>
      <c r="Q103" s="23"/>
      <c r="R103" s="23"/>
      <c r="S103" s="23"/>
      <c r="T103" s="28"/>
      <c r="U103" s="153">
        <f t="shared" si="24"/>
        <v>0</v>
      </c>
      <c r="V103" s="153">
        <f t="shared" si="26"/>
        <v>0</v>
      </c>
      <c r="W103" s="130">
        <f t="shared" si="25"/>
        <v>0</v>
      </c>
      <c r="X103" s="158">
        <f t="shared" si="23"/>
        <v>0</v>
      </c>
    </row>
    <row r="104" spans="2:24" x14ac:dyDescent="0.25">
      <c r="B104" s="5" t="s">
        <v>145</v>
      </c>
      <c r="C104" s="226"/>
      <c r="D104" s="227"/>
      <c r="E104" s="228"/>
      <c r="F104" s="109"/>
      <c r="G104" s="104"/>
      <c r="H104" s="226"/>
      <c r="I104" s="228"/>
      <c r="J104" s="22"/>
      <c r="K104" s="22"/>
      <c r="L104" s="22"/>
      <c r="M104" s="22"/>
      <c r="N104" s="22"/>
      <c r="O104" s="23"/>
      <c r="P104" s="23"/>
      <c r="Q104" s="23"/>
      <c r="R104" s="23"/>
      <c r="S104" s="23"/>
      <c r="T104" s="28"/>
      <c r="U104" s="153">
        <f t="shared" si="24"/>
        <v>0</v>
      </c>
      <c r="V104" s="153">
        <f t="shared" si="26"/>
        <v>0</v>
      </c>
      <c r="W104" s="130">
        <f t="shared" si="25"/>
        <v>0</v>
      </c>
      <c r="X104" s="158">
        <f t="shared" si="23"/>
        <v>0</v>
      </c>
    </row>
    <row r="105" spans="2:24" x14ac:dyDescent="0.25">
      <c r="B105" s="5" t="s">
        <v>146</v>
      </c>
      <c r="C105" s="226"/>
      <c r="D105" s="227"/>
      <c r="E105" s="228"/>
      <c r="F105" s="109"/>
      <c r="G105" s="104"/>
      <c r="H105" s="226"/>
      <c r="I105" s="228"/>
      <c r="J105" s="22"/>
      <c r="K105" s="22"/>
      <c r="L105" s="22"/>
      <c r="M105" s="22"/>
      <c r="N105" s="22"/>
      <c r="O105" s="23"/>
      <c r="P105" s="23"/>
      <c r="Q105" s="23"/>
      <c r="R105" s="23"/>
      <c r="S105" s="23"/>
      <c r="T105" s="28"/>
      <c r="U105" s="153">
        <f t="shared" si="24"/>
        <v>0</v>
      </c>
      <c r="V105" s="153">
        <f t="shared" si="26"/>
        <v>0</v>
      </c>
      <c r="W105" s="130">
        <f t="shared" si="25"/>
        <v>0</v>
      </c>
      <c r="X105" s="158">
        <f t="shared" si="23"/>
        <v>0</v>
      </c>
    </row>
    <row r="106" spans="2:24" x14ac:dyDescent="0.25">
      <c r="B106" s="5" t="s">
        <v>147</v>
      </c>
      <c r="C106" s="226"/>
      <c r="D106" s="227"/>
      <c r="E106" s="228"/>
      <c r="F106" s="109"/>
      <c r="G106" s="104"/>
      <c r="H106" s="226"/>
      <c r="I106" s="228"/>
      <c r="J106" s="22"/>
      <c r="K106" s="22"/>
      <c r="L106" s="22"/>
      <c r="M106" s="22"/>
      <c r="N106" s="22"/>
      <c r="O106" s="23"/>
      <c r="P106" s="23"/>
      <c r="Q106" s="23"/>
      <c r="R106" s="23"/>
      <c r="S106" s="23"/>
      <c r="T106" s="28"/>
      <c r="U106" s="153">
        <f t="shared" si="24"/>
        <v>0</v>
      </c>
      <c r="V106" s="153">
        <f t="shared" si="26"/>
        <v>0</v>
      </c>
      <c r="W106" s="130">
        <f t="shared" si="25"/>
        <v>0</v>
      </c>
      <c r="X106" s="158">
        <f t="shared" si="23"/>
        <v>0</v>
      </c>
    </row>
    <row r="107" spans="2:24" x14ac:dyDescent="0.25">
      <c r="B107" s="5" t="s">
        <v>148</v>
      </c>
      <c r="C107" s="226"/>
      <c r="D107" s="227"/>
      <c r="E107" s="228"/>
      <c r="F107" s="109"/>
      <c r="G107" s="104"/>
      <c r="H107" s="226"/>
      <c r="I107" s="228"/>
      <c r="J107" s="22"/>
      <c r="K107" s="22"/>
      <c r="L107" s="22"/>
      <c r="M107" s="22"/>
      <c r="N107" s="22"/>
      <c r="O107" s="23"/>
      <c r="P107" s="23"/>
      <c r="Q107" s="23"/>
      <c r="R107" s="23"/>
      <c r="S107" s="23"/>
      <c r="T107" s="28"/>
      <c r="U107" s="153">
        <f t="shared" si="24"/>
        <v>0</v>
      </c>
      <c r="V107" s="153">
        <f t="shared" si="26"/>
        <v>0</v>
      </c>
      <c r="W107" s="130">
        <f t="shared" si="25"/>
        <v>0</v>
      </c>
      <c r="X107" s="158">
        <f t="shared" si="23"/>
        <v>0</v>
      </c>
    </row>
    <row r="108" spans="2:24" x14ac:dyDescent="0.25">
      <c r="B108" s="5" t="s">
        <v>149</v>
      </c>
      <c r="C108" s="226"/>
      <c r="D108" s="227"/>
      <c r="E108" s="228"/>
      <c r="F108" s="109"/>
      <c r="G108" s="104"/>
      <c r="H108" s="226"/>
      <c r="I108" s="228"/>
      <c r="J108" s="22"/>
      <c r="K108" s="22"/>
      <c r="L108" s="22"/>
      <c r="M108" s="22"/>
      <c r="N108" s="22"/>
      <c r="O108" s="23"/>
      <c r="P108" s="23"/>
      <c r="Q108" s="23"/>
      <c r="R108" s="23"/>
      <c r="S108" s="23"/>
      <c r="T108" s="28"/>
      <c r="U108" s="153">
        <f t="shared" si="24"/>
        <v>0</v>
      </c>
      <c r="V108" s="153">
        <f t="shared" si="26"/>
        <v>0</v>
      </c>
      <c r="W108" s="130">
        <f t="shared" si="25"/>
        <v>0</v>
      </c>
      <c r="X108" s="158">
        <f t="shared" si="23"/>
        <v>0</v>
      </c>
    </row>
    <row r="109" spans="2:24" s="8" customFormat="1" x14ac:dyDescent="0.25">
      <c r="B109" s="7" t="s">
        <v>115</v>
      </c>
      <c r="C109" s="25"/>
      <c r="D109" s="25"/>
      <c r="E109" s="25"/>
      <c r="F109" s="27"/>
      <c r="G109" s="105"/>
      <c r="H109" s="235"/>
      <c r="I109" s="236"/>
      <c r="J109" s="25"/>
      <c r="K109" s="25"/>
      <c r="L109" s="25"/>
      <c r="M109" s="25"/>
      <c r="N109" s="25"/>
      <c r="O109" s="79">
        <f>SUM(O99:O108)</f>
        <v>0</v>
      </c>
      <c r="P109" s="79">
        <f>SUM(P99:P108)</f>
        <v>0</v>
      </c>
      <c r="Q109" s="79">
        <f>SUM(Q99:Q108)</f>
        <v>0</v>
      </c>
      <c r="R109" s="79">
        <f>SUM(R99:R108)</f>
        <v>0</v>
      </c>
      <c r="S109" s="24"/>
      <c r="T109" s="29"/>
      <c r="U109" s="13">
        <f>SUM(U99:U108)</f>
        <v>0</v>
      </c>
      <c r="V109" s="82">
        <f>SUM(V99:V108)</f>
        <v>0</v>
      </c>
      <c r="W109" s="82">
        <f>SUM(W99:W108)</f>
        <v>0</v>
      </c>
      <c r="X109" s="115"/>
    </row>
  </sheetData>
  <sheetProtection formatColumns="0" formatRows="0" insertRows="0" deleteRows="0"/>
  <mergeCells count="141">
    <mergeCell ref="U77:W77"/>
    <mergeCell ref="U95:W95"/>
    <mergeCell ref="U96:W96"/>
    <mergeCell ref="B6:P6"/>
    <mergeCell ref="N10:O11"/>
    <mergeCell ref="B44:G44"/>
    <mergeCell ref="H44:I44"/>
    <mergeCell ref="V61:AA61"/>
    <mergeCell ref="U44:Z44"/>
    <mergeCell ref="B78:J78"/>
    <mergeCell ref="B43:S43"/>
    <mergeCell ref="U43:Z43"/>
    <mergeCell ref="V60:AA60"/>
    <mergeCell ref="B77:S77"/>
    <mergeCell ref="B95:S95"/>
    <mergeCell ref="B96:G96"/>
    <mergeCell ref="H96:I96"/>
    <mergeCell ref="H71:I71"/>
    <mergeCell ref="H69:I69"/>
    <mergeCell ref="H68:I68"/>
    <mergeCell ref="H67:I67"/>
    <mergeCell ref="O96:S96"/>
    <mergeCell ref="C80:F80"/>
    <mergeCell ref="C70:F70"/>
    <mergeCell ref="K78:L78"/>
    <mergeCell ref="O78:S78"/>
    <mergeCell ref="C81:F81"/>
    <mergeCell ref="C82:F82"/>
    <mergeCell ref="C83:F83"/>
    <mergeCell ref="C84:F84"/>
    <mergeCell ref="C87:F87"/>
    <mergeCell ref="M78:N78"/>
    <mergeCell ref="K86:L86"/>
    <mergeCell ref="K79:L79"/>
    <mergeCell ref="K80:L80"/>
    <mergeCell ref="O42:R42"/>
    <mergeCell ref="B61:G61"/>
    <mergeCell ref="H61:I61"/>
    <mergeCell ref="J61:N61"/>
    <mergeCell ref="O44:S44"/>
    <mergeCell ref="J44:N44"/>
    <mergeCell ref="H48:I48"/>
    <mergeCell ref="H49:I49"/>
    <mergeCell ref="H50:I50"/>
    <mergeCell ref="H51:I51"/>
    <mergeCell ref="H52:I52"/>
    <mergeCell ref="C46:E46"/>
    <mergeCell ref="C47:E47"/>
    <mergeCell ref="J96:N96"/>
    <mergeCell ref="K87:L87"/>
    <mergeCell ref="C88:F88"/>
    <mergeCell ref="C89:F89"/>
    <mergeCell ref="H66:I66"/>
    <mergeCell ref="H73:I73"/>
    <mergeCell ref="H72:I72"/>
    <mergeCell ref="H63:I63"/>
    <mergeCell ref="H64:I64"/>
    <mergeCell ref="H65:I65"/>
    <mergeCell ref="K88:L88"/>
    <mergeCell ref="K89:L89"/>
    <mergeCell ref="K90:L90"/>
    <mergeCell ref="K91:L91"/>
    <mergeCell ref="K81:L81"/>
    <mergeCell ref="K82:L82"/>
    <mergeCell ref="K83:L83"/>
    <mergeCell ref="K84:L84"/>
    <mergeCell ref="K85:L85"/>
    <mergeCell ref="C79:F79"/>
    <mergeCell ref="H70:I70"/>
    <mergeCell ref="C91:F91"/>
    <mergeCell ref="W32:Y33"/>
    <mergeCell ref="H53:I53"/>
    <mergeCell ref="H54:I54"/>
    <mergeCell ref="H55:I55"/>
    <mergeCell ref="H56:I56"/>
    <mergeCell ref="H57:I57"/>
    <mergeCell ref="C73:F73"/>
    <mergeCell ref="C74:F74"/>
    <mergeCell ref="H45:I45"/>
    <mergeCell ref="H46:I46"/>
    <mergeCell ref="H47:I47"/>
    <mergeCell ref="C67:F67"/>
    <mergeCell ref="C68:F68"/>
    <mergeCell ref="C69:F69"/>
    <mergeCell ref="H74:I74"/>
    <mergeCell ref="C48:E48"/>
    <mergeCell ref="C49:E49"/>
    <mergeCell ref="C50:E50"/>
    <mergeCell ref="C51:E51"/>
    <mergeCell ref="C52:E52"/>
    <mergeCell ref="C53:E53"/>
    <mergeCell ref="C66:F66"/>
    <mergeCell ref="H62:I62"/>
    <mergeCell ref="C45:E45"/>
    <mergeCell ref="W26:Y26"/>
    <mergeCell ref="H26:H27"/>
    <mergeCell ref="J26:J27"/>
    <mergeCell ref="K26:K27"/>
    <mergeCell ref="M26:M27"/>
    <mergeCell ref="N26:N27"/>
    <mergeCell ref="P26:P27"/>
    <mergeCell ref="Q26:Q27"/>
    <mergeCell ref="S26:S27"/>
    <mergeCell ref="T26:T27"/>
    <mergeCell ref="H98:I98"/>
    <mergeCell ref="H97:I97"/>
    <mergeCell ref="H107:I107"/>
    <mergeCell ref="H108:I108"/>
    <mergeCell ref="H109:I109"/>
    <mergeCell ref="H100:I100"/>
    <mergeCell ref="H99:I99"/>
    <mergeCell ref="H105:I105"/>
    <mergeCell ref="H103:I103"/>
    <mergeCell ref="H101:I101"/>
    <mergeCell ref="H102:I102"/>
    <mergeCell ref="H106:I106"/>
    <mergeCell ref="H104:I104"/>
    <mergeCell ref="C103:E103"/>
    <mergeCell ref="C104:E104"/>
    <mergeCell ref="C105:E105"/>
    <mergeCell ref="C85:F85"/>
    <mergeCell ref="C86:F86"/>
    <mergeCell ref="C106:E106"/>
    <mergeCell ref="C107:E107"/>
    <mergeCell ref="C108:E108"/>
    <mergeCell ref="C54:E54"/>
    <mergeCell ref="C55:E55"/>
    <mergeCell ref="C56:E56"/>
    <mergeCell ref="C97:E97"/>
    <mergeCell ref="C98:E98"/>
    <mergeCell ref="C99:E99"/>
    <mergeCell ref="C100:E100"/>
    <mergeCell ref="C101:E101"/>
    <mergeCell ref="C102:E102"/>
    <mergeCell ref="C90:F90"/>
    <mergeCell ref="C71:F71"/>
    <mergeCell ref="C72:F72"/>
    <mergeCell ref="C62:F62"/>
    <mergeCell ref="C63:F63"/>
    <mergeCell ref="C64:F64"/>
    <mergeCell ref="C65:F65"/>
  </mergeCells>
  <dataValidations count="2">
    <dataValidation type="list" allowBlank="1" showInputMessage="1" showErrorMessage="1" sqref="H46:I56 H98:I108 H63:I73 K80:L90" xr:uid="{00000000-0002-0000-0000-000000000000}">
      <formula1>$C$28:$C$40</formula1>
    </dataValidation>
    <dataValidation allowBlank="1" showInputMessage="1" showErrorMessage="1" prompt="You may enter EITHER an REG incentive amount OR an REF incentive amount. You may not have incentives from both programs for the same project." sqref="P63:Q74" xr:uid="{00000000-0002-0000-0000-000001000000}"/>
  </dataValidations>
  <pageMargins left="0.7" right="0.7" top="0.75" bottom="0.75" header="0.3" footer="0.3"/>
  <pageSetup paperSize="5" scale="21" fitToWidth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000-000002000000}">
          <x14:formula1>
            <xm:f>AnswerOptions!$A$1:$A$2</xm:f>
          </x14:formula1>
          <xm:sqref>F46:F47 F98 G80 G63</xm:sqref>
        </x14:dataValidation>
        <x14:dataValidation type="list" allowBlank="1" showInputMessage="1" showErrorMessage="1" xr:uid="{00000000-0002-0000-0000-000003000000}">
          <x14:formula1>
            <xm:f>AnswerOptions!$A$1:$A$2</xm:f>
          </x14:formula1>
          <xm:sqref>F48:F56 G81:G90 F99:F108</xm:sqref>
        </x14:dataValidation>
        <x14:dataValidation type="list" allowBlank="1" showInputMessage="1" showErrorMessage="1" xr:uid="{00000000-0002-0000-0000-000004000000}">
          <x14:formula1>
            <xm:f>AnswerOptions!$A$14:$A$16</xm:f>
          </x14:formula1>
          <xm:sqref>J63:J73</xm:sqref>
        </x14:dataValidation>
        <x14:dataValidation type="list" allowBlank="1" showInputMessage="1" showErrorMessage="1" xr:uid="{00000000-0002-0000-0000-000005000000}">
          <x14:formula1>
            <xm:f>AnswerOptions!$A$19:$A$22</xm:f>
          </x14:formula1>
          <xm:sqref>P80:P90</xm:sqref>
        </x14:dataValidation>
        <x14:dataValidation type="list" allowBlank="1" showInputMessage="1" showErrorMessage="1" xr:uid="{00000000-0002-0000-0000-000006000000}">
          <x14:formula1>
            <xm:f>AnswerOptions!$A$26:$A$28</xm:f>
          </x14:formula1>
          <xm:sqref>J80:J90</xm:sqref>
        </x14:dataValidation>
        <x14:dataValidation type="list" allowBlank="1" showInputMessage="1" showErrorMessage="1" xr:uid="{00000000-0002-0000-0000-000007000000}">
          <x14:formula1>
            <xm:f>AnswerOptions!$A$32:$A$33</xm:f>
          </x14:formula1>
          <xm:sqref>N98:N108 J98:J108</xm:sqref>
        </x14:dataValidation>
        <x14:dataValidation type="list" allowBlank="1" showInputMessage="1" showErrorMessage="1" xr:uid="{00000000-0002-0000-0000-000008000000}">
          <x14:formula1>
            <xm:f>AnswerOptions!$A$36:$A$38</xm:f>
          </x14:formula1>
          <xm:sqref>K63:K74</xm:sqref>
        </x14:dataValidation>
        <x14:dataValidation type="list" showInputMessage="1" showErrorMessage="1" xr:uid="{00000000-0002-0000-0000-000009000000}">
          <x14:formula1>
            <xm:f>AnswerOptions!$A$1:$A$3</xm:f>
          </x14:formula1>
          <xm:sqref>G64:G73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A1:A38"/>
  <sheetViews>
    <sheetView workbookViewId="0">
      <selection activeCell="H13" sqref="H13"/>
    </sheetView>
  </sheetViews>
  <sheetFormatPr defaultColWidth="8.85546875" defaultRowHeight="15" x14ac:dyDescent="0.25"/>
  <cols>
    <col min="1" max="1" width="28.42578125" style="91" customWidth="1"/>
  </cols>
  <sheetData>
    <row r="1" spans="1:1" x14ac:dyDescent="0.25">
      <c r="A1" s="91" t="s">
        <v>136</v>
      </c>
    </row>
    <row r="2" spans="1:1" x14ac:dyDescent="0.25">
      <c r="A2" s="91" t="s">
        <v>104</v>
      </c>
    </row>
    <row r="8" spans="1:1" x14ac:dyDescent="0.25">
      <c r="A8" s="91" t="s">
        <v>166</v>
      </c>
    </row>
    <row r="9" spans="1:1" x14ac:dyDescent="0.25">
      <c r="A9" s="91" t="s">
        <v>167</v>
      </c>
    </row>
    <row r="10" spans="1:1" x14ac:dyDescent="0.25">
      <c r="A10" s="91" t="s">
        <v>168</v>
      </c>
    </row>
    <row r="14" spans="1:1" x14ac:dyDescent="0.25">
      <c r="A14" s="91" t="s">
        <v>137</v>
      </c>
    </row>
    <row r="15" spans="1:1" x14ac:dyDescent="0.25">
      <c r="A15" s="91" t="s">
        <v>169</v>
      </c>
    </row>
    <row r="16" spans="1:1" x14ac:dyDescent="0.25">
      <c r="A16" s="91" t="s">
        <v>170</v>
      </c>
    </row>
    <row r="20" spans="1:1" ht="30" x14ac:dyDescent="0.25">
      <c r="A20" s="91" t="s">
        <v>156</v>
      </c>
    </row>
    <row r="21" spans="1:1" ht="30" x14ac:dyDescent="0.25">
      <c r="A21" s="91" t="s">
        <v>171</v>
      </c>
    </row>
    <row r="22" spans="1:1" x14ac:dyDescent="0.25">
      <c r="A22" s="91" t="s">
        <v>168</v>
      </c>
    </row>
    <row r="26" spans="1:1" x14ac:dyDescent="0.25">
      <c r="A26" s="91" t="s">
        <v>172</v>
      </c>
    </row>
    <row r="27" spans="1:1" x14ac:dyDescent="0.25">
      <c r="A27" s="91" t="s">
        <v>155</v>
      </c>
    </row>
    <row r="28" spans="1:1" x14ac:dyDescent="0.25">
      <c r="A28" s="91" t="s">
        <v>173</v>
      </c>
    </row>
    <row r="32" spans="1:1" x14ac:dyDescent="0.25">
      <c r="A32" s="91" t="s">
        <v>165</v>
      </c>
    </row>
    <row r="33" spans="1:1" x14ac:dyDescent="0.25">
      <c r="A33" s="91" t="s">
        <v>174</v>
      </c>
    </row>
    <row r="36" spans="1:1" x14ac:dyDescent="0.25">
      <c r="A36" s="91" t="s">
        <v>138</v>
      </c>
    </row>
    <row r="37" spans="1:1" x14ac:dyDescent="0.25">
      <c r="A37" s="91" t="s">
        <v>175</v>
      </c>
    </row>
    <row r="38" spans="1:1" x14ac:dyDescent="0.25">
      <c r="A38" s="91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2E8AE-365B-4027-B2E8-7012D7059089}">
  <sheetPr>
    <tabColor theme="2"/>
  </sheetPr>
  <dimension ref="A1:BH28"/>
  <sheetViews>
    <sheetView showGridLines="0" zoomScale="85" zoomScaleNormal="85" workbookViewId="0">
      <selection activeCell="K11" sqref="K11"/>
    </sheetView>
  </sheetViews>
  <sheetFormatPr defaultRowHeight="15" x14ac:dyDescent="0.25"/>
  <cols>
    <col min="1" max="1" width="3.28515625" customWidth="1"/>
    <col min="2" max="2" width="4.85546875" customWidth="1"/>
    <col min="3" max="3" width="37.5703125" customWidth="1"/>
    <col min="4" max="4" width="13.140625" bestFit="1" customWidth="1"/>
    <col min="5" max="5" width="15.140625" customWidth="1"/>
    <col min="6" max="6" width="21.42578125" customWidth="1"/>
    <col min="7" max="7" width="20.85546875" customWidth="1"/>
    <col min="8" max="8" width="14.5703125" customWidth="1"/>
  </cols>
  <sheetData>
    <row r="1" spans="1:60" s="178" customFormat="1" ht="21" x14ac:dyDescent="0.3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</row>
    <row r="2" spans="1:60" ht="23.25" x14ac:dyDescent="0.35">
      <c r="A2" s="177"/>
      <c r="B2" s="217" t="s">
        <v>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</row>
    <row r="3" spans="1:60" s="178" customFormat="1" ht="23.25" x14ac:dyDescent="0.35">
      <c r="B3" s="145" t="s">
        <v>177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</row>
    <row r="4" spans="1:60" s="178" customFormat="1" ht="18.75" x14ac:dyDescent="0.3">
      <c r="B4" s="211" t="s">
        <v>215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</row>
    <row r="5" spans="1:60" ht="18" x14ac:dyDescent="0.25">
      <c r="B5" s="164" t="s">
        <v>178</v>
      </c>
    </row>
    <row r="6" spans="1:60" ht="30" x14ac:dyDescent="0.25">
      <c r="C6" s="165" t="s">
        <v>179</v>
      </c>
      <c r="D6" s="165" t="s">
        <v>180</v>
      </c>
      <c r="E6" s="166" t="s">
        <v>181</v>
      </c>
      <c r="F6" s="165" t="s">
        <v>182</v>
      </c>
    </row>
    <row r="7" spans="1:60" x14ac:dyDescent="0.25">
      <c r="C7" s="167" t="s">
        <v>188</v>
      </c>
      <c r="D7" s="168">
        <v>25</v>
      </c>
      <c r="E7" s="169" t="s">
        <v>190</v>
      </c>
      <c r="F7" s="170" t="s">
        <v>183</v>
      </c>
      <c r="G7" s="171" t="s">
        <v>184</v>
      </c>
    </row>
    <row r="8" spans="1:60" x14ac:dyDescent="0.25">
      <c r="C8" s="167" t="s">
        <v>189</v>
      </c>
      <c r="D8" s="168">
        <v>15</v>
      </c>
      <c r="E8" s="172" t="s">
        <v>190</v>
      </c>
      <c r="F8" s="169" t="s">
        <v>185</v>
      </c>
      <c r="G8" s="171" t="s">
        <v>184</v>
      </c>
    </row>
    <row r="9" spans="1:60" x14ac:dyDescent="0.25">
      <c r="I9" s="178"/>
    </row>
    <row r="10" spans="1:60" ht="18" x14ac:dyDescent="0.25">
      <c r="B10" s="164" t="s">
        <v>186</v>
      </c>
      <c r="D10" s="219" t="s">
        <v>221</v>
      </c>
      <c r="E10" s="219"/>
      <c r="F10" s="219"/>
    </row>
    <row r="11" spans="1:60" ht="30" x14ac:dyDescent="0.25">
      <c r="C11" s="165" t="s">
        <v>197</v>
      </c>
      <c r="D11" s="165" t="s">
        <v>194</v>
      </c>
      <c r="E11" s="166" t="s">
        <v>195</v>
      </c>
      <c r="F11" s="165" t="s">
        <v>220</v>
      </c>
      <c r="G11" s="165" t="s">
        <v>181</v>
      </c>
    </row>
    <row r="12" spans="1:60" x14ac:dyDescent="0.25">
      <c r="C12" s="173" t="s">
        <v>57</v>
      </c>
      <c r="D12" s="203">
        <v>4.0480000000000002E-2</v>
      </c>
      <c r="E12" s="203">
        <v>0.14138000000000001</v>
      </c>
      <c r="F12" s="214">
        <f>SUM(D12:E12)</f>
        <v>0.18186000000000002</v>
      </c>
      <c r="G12" s="169" t="s">
        <v>213</v>
      </c>
    </row>
    <row r="13" spans="1:60" x14ac:dyDescent="0.25">
      <c r="C13" s="174" t="s">
        <v>198</v>
      </c>
      <c r="D13" s="205">
        <v>0.11056000000000001</v>
      </c>
      <c r="E13" s="205">
        <v>7.1300000000000016E-2</v>
      </c>
      <c r="F13" s="205">
        <f>SUM(D13:E13)</f>
        <v>0.18186000000000002</v>
      </c>
      <c r="G13" s="169" t="s">
        <v>213</v>
      </c>
    </row>
    <row r="14" spans="1:60" x14ac:dyDescent="0.25">
      <c r="D14" s="206"/>
      <c r="E14" s="206"/>
      <c r="F14" s="206"/>
    </row>
    <row r="15" spans="1:60" ht="18" x14ac:dyDescent="0.25">
      <c r="B15" s="164" t="s">
        <v>191</v>
      </c>
      <c r="D15" s="219" t="s">
        <v>196</v>
      </c>
      <c r="E15" s="219"/>
      <c r="F15" s="219"/>
    </row>
    <row r="16" spans="1:60" ht="30" x14ac:dyDescent="0.25">
      <c r="C16" s="165" t="s">
        <v>191</v>
      </c>
      <c r="D16" s="165" t="s">
        <v>194</v>
      </c>
      <c r="E16" s="166" t="s">
        <v>195</v>
      </c>
      <c r="F16" s="165" t="s">
        <v>220</v>
      </c>
      <c r="G16" s="165" t="s">
        <v>181</v>
      </c>
    </row>
    <row r="17" spans="2:7" x14ac:dyDescent="0.25">
      <c r="C17" s="173" t="s">
        <v>57</v>
      </c>
      <c r="D17" s="203">
        <v>4.0480000000000002E-2</v>
      </c>
      <c r="E17" s="203">
        <v>0.14138000000000001</v>
      </c>
      <c r="F17" s="204">
        <f>SUM(D17:E17)</f>
        <v>0.18186000000000002</v>
      </c>
      <c r="G17" s="169" t="s">
        <v>213</v>
      </c>
    </row>
    <row r="18" spans="2:7" x14ac:dyDescent="0.25">
      <c r="C18" s="174" t="s">
        <v>198</v>
      </c>
      <c r="D18" s="205">
        <v>0.11056000000000001</v>
      </c>
      <c r="E18" s="205">
        <v>0.14138000000000001</v>
      </c>
      <c r="F18" s="207">
        <f>SUM(D18:E18)</f>
        <v>0.25194</v>
      </c>
      <c r="G18" s="202" t="s">
        <v>213</v>
      </c>
    </row>
    <row r="20" spans="2:7" ht="18" x14ac:dyDescent="0.25">
      <c r="B20" s="164" t="s">
        <v>192</v>
      </c>
    </row>
    <row r="21" spans="2:7" x14ac:dyDescent="0.25">
      <c r="C21" s="165" t="s">
        <v>186</v>
      </c>
      <c r="D21" s="165" t="s">
        <v>214</v>
      </c>
      <c r="E21" s="165" t="s">
        <v>181</v>
      </c>
    </row>
    <row r="22" spans="2:7" x14ac:dyDescent="0.25">
      <c r="C22" s="173" t="s">
        <v>57</v>
      </c>
      <c r="D22" s="208">
        <v>4</v>
      </c>
      <c r="E22" s="169" t="s">
        <v>217</v>
      </c>
    </row>
    <row r="23" spans="2:7" x14ac:dyDescent="0.25">
      <c r="C23" s="174" t="s">
        <v>198</v>
      </c>
      <c r="D23" s="209">
        <v>4</v>
      </c>
      <c r="E23" s="202" t="s">
        <v>217</v>
      </c>
    </row>
    <row r="24" spans="2:7" x14ac:dyDescent="0.25">
      <c r="D24" s="210"/>
    </row>
    <row r="25" spans="2:7" ht="18" x14ac:dyDescent="0.25">
      <c r="B25" s="164" t="s">
        <v>193</v>
      </c>
      <c r="D25" s="210"/>
    </row>
    <row r="26" spans="2:7" x14ac:dyDescent="0.25">
      <c r="C26" s="165" t="s">
        <v>186</v>
      </c>
      <c r="D26" s="165" t="s">
        <v>214</v>
      </c>
      <c r="E26" s="165" t="s">
        <v>181</v>
      </c>
    </row>
    <row r="27" spans="2:7" x14ac:dyDescent="0.25">
      <c r="C27" s="173" t="s">
        <v>57</v>
      </c>
      <c r="D27" s="208">
        <v>4</v>
      </c>
      <c r="E27" s="169" t="s">
        <v>216</v>
      </c>
    </row>
    <row r="28" spans="2:7" x14ac:dyDescent="0.25">
      <c r="C28" s="174" t="s">
        <v>198</v>
      </c>
      <c r="D28" s="209">
        <v>4</v>
      </c>
      <c r="E28" s="202" t="s">
        <v>216</v>
      </c>
    </row>
  </sheetData>
  <phoneticPr fontId="2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6f771f5-ab20-4904-944d-43c1a7c3221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CE4B2C57CB44EA89354B390E2AED9" ma:contentTypeVersion="11" ma:contentTypeDescription="Create a new document." ma:contentTypeScope="" ma:versionID="b168ea491a3d56a3ccfb9efc42946f11">
  <xsd:schema xmlns:xsd="http://www.w3.org/2001/XMLSchema" xmlns:xs="http://www.w3.org/2001/XMLSchema" xmlns:p="http://schemas.microsoft.com/office/2006/metadata/properties" xmlns:ns3="c6f771f5-ab20-4904-944d-43c1a7c3221a" xmlns:ns4="767c20f6-78e2-4deb-ac72-69b257138d24" targetNamespace="http://schemas.microsoft.com/office/2006/metadata/properties" ma:root="true" ma:fieldsID="79b91c9213f92bdf25bc9fb130540112" ns3:_="" ns4:_="">
    <xsd:import namespace="c6f771f5-ab20-4904-944d-43c1a7c3221a"/>
    <xsd:import namespace="767c20f6-78e2-4deb-ac72-69b257138d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771f5-ab20-4904-944d-43c1a7c32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c20f6-78e2-4deb-ac72-69b257138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A3A304-5BA6-49A1-AB1C-01A851D50FA0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767c20f6-78e2-4deb-ac72-69b257138d24"/>
    <ds:schemaRef ds:uri="c6f771f5-ab20-4904-944d-43c1a7c3221a"/>
  </ds:schemaRefs>
</ds:datastoreItem>
</file>

<file path=customXml/itemProps2.xml><?xml version="1.0" encoding="utf-8"?>
<ds:datastoreItem xmlns:ds="http://schemas.openxmlformats.org/officeDocument/2006/customXml" ds:itemID="{CBD35F29-81A5-469E-8F80-2BB93219C6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B72D84-AFD9-4074-9255-F3251DE5D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f771f5-ab20-4904-944d-43c1a7c3221a"/>
    <ds:schemaRef ds:uri="767c20f6-78e2-4deb-ac72-69b257138d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PSF</vt:lpstr>
      <vt:lpstr>AnswerOptions</vt:lpstr>
      <vt:lpstr>References</vt:lpstr>
      <vt:lpstr>Electricity_Rate</vt:lpstr>
      <vt:lpstr>Electricity_Rates_Buildings</vt:lpstr>
      <vt:lpstr>Natural_Gas_Buildings</vt:lpstr>
      <vt:lpstr>Natural_Gas_Rate</vt:lpstr>
      <vt:lpstr>Oil_Buildings</vt:lpstr>
      <vt:lpstr>Oil_Rate</vt:lpstr>
      <vt:lpstr>Propane_Buildings</vt:lpstr>
      <vt:lpstr>Propane_Rate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Sholly, Rachel</dc:creator>
  <cp:keywords/>
  <dc:description/>
  <cp:lastModifiedBy>Chybowski, Steven (OER)</cp:lastModifiedBy>
  <cp:revision/>
  <dcterms:created xsi:type="dcterms:W3CDTF">2015-11-16T17:20:57Z</dcterms:created>
  <dcterms:modified xsi:type="dcterms:W3CDTF">2024-01-17T17:47:14Z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0x0101007F3CE4B2C57CB44EA89354B390E2AED9</vt:lpwstr>
  </property>
  <property fmtid="{D5CDD505-2E9C-101B-9397-08002B2CF9AE}" pid="3" name="Order">
    <vt:r8>100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MediaServiceImageTags">
    <vt:lpwstr/>
  </property>
</Properties>
</file>